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4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daa3bf0bcb9c4b5a/Documenti/"/>
    </mc:Choice>
  </mc:AlternateContent>
  <xr:revisionPtr revIDLastSave="0" documentId="8_{36354A58-3238-4D70-9C4B-001C400C2218}" xr6:coauthVersionLast="47" xr6:coauthVersionMax="47" xr10:uidLastSave="{00000000-0000-0000-0000-000000000000}"/>
  <bookViews>
    <workbookView xWindow="-110" yWindow="-110" windowWidth="19420" windowHeight="11500" tabRatio="799" firstSheet="1" activeTab="1" xr2:uid="{00000000-000D-0000-FFFF-FFFF00000000}"/>
  </bookViews>
  <sheets>
    <sheet name="Menù" sheetId="14" r:id="rId1"/>
    <sheet name="Controll Panel" sheetId="40" r:id="rId2"/>
    <sheet name="HR" sheetId="47" r:id="rId3"/>
    <sheet name="W Plur." sheetId="29" r:id="rId4"/>
    <sheet name="W. Month" sheetId="15" r:id="rId5"/>
    <sheet name="Inv." sheetId="12" r:id="rId6"/>
    <sheet name="PoS ren. costs" sheetId="52" r:id="rId7"/>
    <sheet name="Plur. Gen. C." sheetId="11" r:id="rId8"/>
    <sheet name="Bep" sheetId="37" r:id="rId9"/>
    <sheet name="P&amp;L" sheetId="51" r:id="rId10"/>
    <sheet name="C.E." sheetId="18" r:id="rId11"/>
    <sheet name="S.P." sheetId="46" state="hidden" r:id="rId12"/>
    <sheet name="Riclassificato" sheetId="16" r:id="rId13"/>
    <sheet name="Mutui" sheetId="24" state="hidden" r:id="rId14"/>
    <sheet name="CF Plur" sheetId="22" r:id="rId15"/>
  </sheets>
  <definedNames>
    <definedName name="_xlnm._FilterDatabase" localSheetId="7" hidden="1">'Plur. Gen. C.'!$A$5:$AC$123</definedName>
    <definedName name="_xlnm._FilterDatabase" localSheetId="11" hidden="1">'S.P.'!$A$5:$H$210</definedName>
    <definedName name="_xlnm.Print_Area" localSheetId="14">'CF Plur'!$A$1:$L$97</definedName>
    <definedName name="_xlnm.Print_Area" localSheetId="5">Inv.!$A$1:$AB$110</definedName>
    <definedName name="_xlnm.Print_Titles" localSheetId="10">'C.E.'!$1:$5</definedName>
    <definedName name="_xlnm.Print_Titles" localSheetId="14">'CF Plur'!$1:$6</definedName>
    <definedName name="_xlnm.Print_Titles" localSheetId="1">'Controll Panel'!$1:$6</definedName>
    <definedName name="_xlnm.Print_Titles" localSheetId="5">Inv.!$1:$5</definedName>
    <definedName name="_xlnm.Print_Titles" localSheetId="9">'P&amp;L'!$1:$5</definedName>
    <definedName name="_xlnm.Print_Titles" localSheetId="7">'Plur. Gen. C.'!$1:$6</definedName>
    <definedName name="_xlnm.Print_Titles" localSheetId="12">Riclassificato!$1:$4</definedName>
    <definedName name="_xlnm.Print_Titles" localSheetId="3">'W Plur.'!$1:$6</definedName>
    <definedName name="_xlnm.Print_Titles" localSheetId="4">'W. Month'!$1:$4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40" l="1"/>
  <c r="B20" i="40"/>
  <c r="B19" i="40"/>
  <c r="B22" i="52"/>
  <c r="D22" i="52"/>
  <c r="B21" i="52"/>
  <c r="D21" i="52"/>
  <c r="B19" i="52"/>
  <c r="D19" i="52"/>
  <c r="B18" i="52"/>
  <c r="D18" i="52"/>
  <c r="B17" i="52"/>
  <c r="D17" i="52"/>
  <c r="B16" i="52"/>
  <c r="D16" i="52"/>
  <c r="B15" i="52"/>
  <c r="D15" i="52"/>
  <c r="B14" i="52"/>
  <c r="D14" i="52"/>
  <c r="B13" i="52"/>
  <c r="D13" i="52"/>
  <c r="B12" i="52"/>
  <c r="D12" i="52"/>
  <c r="B11" i="52"/>
  <c r="B10" i="52"/>
  <c r="D10" i="52"/>
  <c r="B9" i="52"/>
  <c r="D9" i="52"/>
  <c r="B8" i="52"/>
  <c r="D8" i="52"/>
  <c r="B7" i="52"/>
  <c r="D7" i="52"/>
  <c r="B6" i="52"/>
  <c r="D6" i="52"/>
  <c r="A2" i="52"/>
  <c r="A1" i="52"/>
  <c r="X31" i="11"/>
  <c r="T31" i="11"/>
  <c r="P31" i="11"/>
  <c r="L31" i="11"/>
  <c r="D45" i="40"/>
  <c r="E45" i="40"/>
  <c r="A37" i="12"/>
  <c r="I17" i="12"/>
  <c r="V17" i="12"/>
  <c r="J17" i="12"/>
  <c r="K17" i="12"/>
  <c r="L17" i="12"/>
  <c r="M17" i="12"/>
  <c r="T17" i="12"/>
  <c r="W17" i="12"/>
  <c r="X17" i="12"/>
  <c r="Y17" i="12"/>
  <c r="Z17" i="12"/>
  <c r="I18" i="12"/>
  <c r="J18" i="12"/>
  <c r="K18" i="12"/>
  <c r="L18" i="12"/>
  <c r="M18" i="12"/>
  <c r="T18" i="12"/>
  <c r="V18" i="12"/>
  <c r="W18" i="12"/>
  <c r="X18" i="12"/>
  <c r="Y18" i="12"/>
  <c r="Z18" i="12"/>
  <c r="I19" i="12"/>
  <c r="O17" i="12"/>
  <c r="J19" i="12"/>
  <c r="K19" i="12"/>
  <c r="L19" i="12"/>
  <c r="M19" i="12"/>
  <c r="T19" i="12"/>
  <c r="W19" i="12"/>
  <c r="X19" i="12"/>
  <c r="Y19" i="12"/>
  <c r="Z19" i="12"/>
  <c r="I20" i="12"/>
  <c r="J20" i="12"/>
  <c r="K20" i="12"/>
  <c r="L20" i="12"/>
  <c r="M20" i="12"/>
  <c r="T20" i="12"/>
  <c r="V20" i="12"/>
  <c r="W20" i="12"/>
  <c r="X20" i="12"/>
  <c r="Y20" i="12"/>
  <c r="Z20" i="12"/>
  <c r="I21" i="12"/>
  <c r="J21" i="12"/>
  <c r="K21" i="12"/>
  <c r="L21" i="12"/>
  <c r="M21" i="12"/>
  <c r="T21" i="12"/>
  <c r="W21" i="12"/>
  <c r="X21" i="12"/>
  <c r="Y21" i="12"/>
  <c r="Z21" i="12"/>
  <c r="I22" i="12"/>
  <c r="V22" i="12"/>
  <c r="J22" i="12"/>
  <c r="K22" i="12"/>
  <c r="L22" i="12"/>
  <c r="M22" i="12"/>
  <c r="T22" i="12"/>
  <c r="W22" i="12"/>
  <c r="X22" i="12"/>
  <c r="Y22" i="12"/>
  <c r="Z22" i="12"/>
  <c r="I23" i="12"/>
  <c r="J23" i="12"/>
  <c r="K23" i="12"/>
  <c r="L23" i="12"/>
  <c r="M23" i="12"/>
  <c r="T23" i="12"/>
  <c r="V23" i="12"/>
  <c r="W23" i="12"/>
  <c r="X23" i="12"/>
  <c r="Y23" i="12"/>
  <c r="Z23" i="12"/>
  <c r="I24" i="12"/>
  <c r="V24" i="12"/>
  <c r="J24" i="12"/>
  <c r="K24" i="12"/>
  <c r="L24" i="12"/>
  <c r="M24" i="12"/>
  <c r="T24" i="12"/>
  <c r="W24" i="12"/>
  <c r="X24" i="12"/>
  <c r="Y24" i="12"/>
  <c r="Z24" i="12"/>
  <c r="I25" i="12"/>
  <c r="J25" i="12"/>
  <c r="K25" i="12"/>
  <c r="L25" i="12"/>
  <c r="M25" i="12"/>
  <c r="T25" i="12"/>
  <c r="W25" i="12"/>
  <c r="X25" i="12"/>
  <c r="Y25" i="12"/>
  <c r="Z25" i="12"/>
  <c r="I26" i="12"/>
  <c r="V26" i="12"/>
  <c r="T26" i="12"/>
  <c r="W26" i="12"/>
  <c r="X26" i="12"/>
  <c r="Y26" i="12"/>
  <c r="Z26" i="12"/>
  <c r="I27" i="12"/>
  <c r="J27" i="12"/>
  <c r="K27" i="12"/>
  <c r="L27" i="12"/>
  <c r="M27" i="12"/>
  <c r="T27" i="12"/>
  <c r="V27" i="12"/>
  <c r="W27" i="12"/>
  <c r="X27" i="12"/>
  <c r="Y27" i="12"/>
  <c r="Z27" i="12"/>
  <c r="I28" i="12"/>
  <c r="J28" i="12"/>
  <c r="K28" i="12"/>
  <c r="L28" i="12"/>
  <c r="M28" i="12"/>
  <c r="T28" i="12"/>
  <c r="W28" i="12"/>
  <c r="X28" i="12"/>
  <c r="Y28" i="12"/>
  <c r="Z28" i="12"/>
  <c r="I29" i="12"/>
  <c r="V29" i="12"/>
  <c r="J29" i="12"/>
  <c r="K29" i="12"/>
  <c r="L29" i="12"/>
  <c r="M29" i="12"/>
  <c r="T29" i="12"/>
  <c r="W29" i="12"/>
  <c r="X29" i="12"/>
  <c r="Y29" i="12"/>
  <c r="Z29" i="12"/>
  <c r="I30" i="12"/>
  <c r="J30" i="12"/>
  <c r="K30" i="12"/>
  <c r="L30" i="12"/>
  <c r="M30" i="12"/>
  <c r="T30" i="12"/>
  <c r="V30" i="12"/>
  <c r="W30" i="12"/>
  <c r="X30" i="12"/>
  <c r="Y30" i="12"/>
  <c r="Z30" i="12"/>
  <c r="I31" i="12"/>
  <c r="V31" i="12"/>
  <c r="J31" i="12"/>
  <c r="K31" i="12"/>
  <c r="L31" i="12"/>
  <c r="M31" i="12"/>
  <c r="T31" i="12"/>
  <c r="W31" i="12"/>
  <c r="X31" i="12"/>
  <c r="Y31" i="12"/>
  <c r="Z31" i="12"/>
  <c r="I32" i="12"/>
  <c r="V32" i="12"/>
  <c r="J32" i="12"/>
  <c r="K32" i="12"/>
  <c r="L32" i="12"/>
  <c r="M32" i="12"/>
  <c r="T32" i="12"/>
  <c r="W32" i="12"/>
  <c r="X32" i="12"/>
  <c r="Y32" i="12"/>
  <c r="Z32" i="12"/>
  <c r="I33" i="12"/>
  <c r="V33" i="12"/>
  <c r="T33" i="12"/>
  <c r="W33" i="12"/>
  <c r="X33" i="12"/>
  <c r="Y33" i="12"/>
  <c r="Z33" i="12"/>
  <c r="I34" i="12"/>
  <c r="V34" i="12"/>
  <c r="J34" i="12"/>
  <c r="K34" i="12"/>
  <c r="L34" i="12"/>
  <c r="M34" i="12"/>
  <c r="O34" i="12"/>
  <c r="T34" i="12"/>
  <c r="W34" i="12"/>
  <c r="X34" i="12"/>
  <c r="Y34" i="12"/>
  <c r="Z34" i="12"/>
  <c r="I35" i="12"/>
  <c r="T35" i="12"/>
  <c r="W35" i="12"/>
  <c r="X35" i="12"/>
  <c r="Y35" i="12"/>
  <c r="Z35" i="12"/>
  <c r="I36" i="12"/>
  <c r="V36" i="12"/>
  <c r="T36" i="12"/>
  <c r="W36" i="12"/>
  <c r="X36" i="12"/>
  <c r="Y36" i="12"/>
  <c r="Z36" i="12"/>
  <c r="A47" i="22"/>
  <c r="A46" i="22"/>
  <c r="A45" i="22"/>
  <c r="A44" i="22"/>
  <c r="A43" i="22"/>
  <c r="AC87" i="11"/>
  <c r="AC88" i="11"/>
  <c r="AC89" i="11"/>
  <c r="AC90" i="11"/>
  <c r="AC11" i="11"/>
  <c r="AC58" i="11"/>
  <c r="AC111" i="11"/>
  <c r="D24" i="52"/>
  <c r="B24" i="52"/>
  <c r="J36" i="12"/>
  <c r="K36" i="12"/>
  <c r="L36" i="12"/>
  <c r="M36" i="12"/>
  <c r="O35" i="12"/>
  <c r="O33" i="12"/>
  <c r="J33" i="12"/>
  <c r="K33" i="12"/>
  <c r="L33" i="12"/>
  <c r="M33" i="12"/>
  <c r="V21" i="12"/>
  <c r="J26" i="12"/>
  <c r="K26" i="12"/>
  <c r="L26" i="12"/>
  <c r="M26" i="12"/>
  <c r="O30" i="12"/>
  <c r="O20" i="12"/>
  <c r="O24" i="12"/>
  <c r="V28" i="12"/>
  <c r="O27" i="12"/>
  <c r="V25" i="12"/>
  <c r="J35" i="12"/>
  <c r="K35" i="12"/>
  <c r="L35" i="12"/>
  <c r="M35" i="12"/>
  <c r="V19" i="12"/>
  <c r="V35" i="12"/>
  <c r="K22" i="47"/>
  <c r="M22" i="47"/>
  <c r="N22" i="47"/>
  <c r="O22" i="47"/>
  <c r="P22" i="47"/>
  <c r="K21" i="47"/>
  <c r="M21" i="47"/>
  <c r="N21" i="47"/>
  <c r="O21" i="47"/>
  <c r="P21" i="47"/>
  <c r="H173" i="46"/>
  <c r="G173" i="46"/>
  <c r="F173" i="46"/>
  <c r="E173" i="46"/>
  <c r="D173" i="46"/>
  <c r="C173" i="46"/>
  <c r="AC30" i="11"/>
  <c r="AC50" i="11"/>
  <c r="AC21" i="11"/>
  <c r="AC23" i="11"/>
  <c r="AC12" i="11"/>
  <c r="AC13" i="11"/>
  <c r="A14" i="40"/>
  <c r="A13" i="40"/>
  <c r="A12" i="40"/>
  <c r="A11" i="40"/>
  <c r="A10" i="40"/>
  <c r="A9" i="40"/>
  <c r="A1" i="37"/>
  <c r="K10" i="47"/>
  <c r="M10" i="47"/>
  <c r="N10" i="47"/>
  <c r="O10" i="47"/>
  <c r="P10" i="47"/>
  <c r="K11" i="47"/>
  <c r="M11" i="47"/>
  <c r="N11" i="47"/>
  <c r="O11" i="47"/>
  <c r="P11" i="47"/>
  <c r="K12" i="47"/>
  <c r="M12" i="47"/>
  <c r="N12" i="47"/>
  <c r="O12" i="47"/>
  <c r="P12" i="47"/>
  <c r="K13" i="47"/>
  <c r="M13" i="47"/>
  <c r="N13" i="47"/>
  <c r="O13" i="47"/>
  <c r="P13" i="47"/>
  <c r="A34" i="51"/>
  <c r="AC80" i="11"/>
  <c r="H113" i="11"/>
  <c r="L113" i="11"/>
  <c r="Z63" i="11"/>
  <c r="V63" i="11"/>
  <c r="R63" i="11"/>
  <c r="N63" i="11"/>
  <c r="M39" i="11"/>
  <c r="Q39" i="11"/>
  <c r="M38" i="11"/>
  <c r="Q38" i="11"/>
  <c r="Z40" i="11"/>
  <c r="V40" i="11"/>
  <c r="R40" i="11"/>
  <c r="N40" i="11"/>
  <c r="J40" i="11"/>
  <c r="Z50" i="11"/>
  <c r="V50" i="11"/>
  <c r="R50" i="11"/>
  <c r="N50" i="11"/>
  <c r="Z45" i="11"/>
  <c r="Z44" i="11"/>
  <c r="V45" i="11"/>
  <c r="V44" i="11"/>
  <c r="R45" i="11"/>
  <c r="R44" i="11"/>
  <c r="N45" i="11"/>
  <c r="N44" i="11"/>
  <c r="Z33" i="11"/>
  <c r="V33" i="11"/>
  <c r="R33" i="11"/>
  <c r="N33" i="11"/>
  <c r="Z32" i="11"/>
  <c r="V32" i="11"/>
  <c r="R32" i="11"/>
  <c r="N32" i="11"/>
  <c r="X74" i="11"/>
  <c r="T74" i="11"/>
  <c r="P74" i="11"/>
  <c r="L74" i="11"/>
  <c r="H74" i="11"/>
  <c r="J73" i="11"/>
  <c r="M20" i="11"/>
  <c r="Q20" i="11"/>
  <c r="J39" i="11"/>
  <c r="AB28" i="11"/>
  <c r="AC28" i="11"/>
  <c r="Z68" i="11"/>
  <c r="V68" i="11"/>
  <c r="R68" i="11"/>
  <c r="N68" i="11"/>
  <c r="J68" i="11"/>
  <c r="G68" i="11"/>
  <c r="Z67" i="11"/>
  <c r="V67" i="11"/>
  <c r="R67" i="11"/>
  <c r="N67" i="11"/>
  <c r="J67" i="11"/>
  <c r="G67" i="11"/>
  <c r="B5" i="51"/>
  <c r="C5" i="51"/>
  <c r="D5" i="51"/>
  <c r="E5" i="51"/>
  <c r="F5" i="51"/>
  <c r="P11" i="11"/>
  <c r="G25" i="47"/>
  <c r="P14" i="11"/>
  <c r="P13" i="11"/>
  <c r="P12" i="11"/>
  <c r="H14" i="11"/>
  <c r="H13" i="11"/>
  <c r="H12" i="11"/>
  <c r="H11" i="11"/>
  <c r="C21" i="40"/>
  <c r="D21" i="40"/>
  <c r="E21" i="40"/>
  <c r="F21" i="40"/>
  <c r="F29" i="29"/>
  <c r="C18" i="40"/>
  <c r="D18" i="40"/>
  <c r="E18" i="40"/>
  <c r="F18" i="40"/>
  <c r="C137" i="29"/>
  <c r="D137" i="29"/>
  <c r="E137" i="29"/>
  <c r="F137" i="29"/>
  <c r="B137" i="29"/>
  <c r="B87" i="29"/>
  <c r="C86" i="29"/>
  <c r="C87" i="29"/>
  <c r="C89" i="29"/>
  <c r="B80" i="29"/>
  <c r="C79" i="29"/>
  <c r="D79" i="29"/>
  <c r="D80" i="29"/>
  <c r="B73" i="29"/>
  <c r="C72" i="29"/>
  <c r="C73" i="29"/>
  <c r="B66" i="29"/>
  <c r="C65" i="29"/>
  <c r="C66" i="29"/>
  <c r="C44" i="29"/>
  <c r="C45" i="29"/>
  <c r="B45" i="29"/>
  <c r="C38" i="29"/>
  <c r="D38" i="29"/>
  <c r="E38" i="29"/>
  <c r="F38" i="29"/>
  <c r="B37" i="29"/>
  <c r="B38" i="29"/>
  <c r="B30" i="29"/>
  <c r="B23" i="29"/>
  <c r="B16" i="29"/>
  <c r="C39" i="40"/>
  <c r="D39" i="40"/>
  <c r="E39" i="40"/>
  <c r="F39" i="40"/>
  <c r="B9" i="29"/>
  <c r="C45" i="40"/>
  <c r="F45" i="40"/>
  <c r="X13" i="11"/>
  <c r="C24" i="40"/>
  <c r="D24" i="40"/>
  <c r="E24" i="40"/>
  <c r="F24" i="40"/>
  <c r="F23" i="29"/>
  <c r="C25" i="40"/>
  <c r="D25" i="40"/>
  <c r="E25" i="40"/>
  <c r="F25" i="40"/>
  <c r="F30" i="29"/>
  <c r="C23" i="40"/>
  <c r="D23" i="40"/>
  <c r="E23" i="40"/>
  <c r="F23" i="40"/>
  <c r="F16" i="29"/>
  <c r="C22" i="40"/>
  <c r="D22" i="40"/>
  <c r="E22" i="40"/>
  <c r="F22" i="40"/>
  <c r="F9" i="29"/>
  <c r="C41" i="40"/>
  <c r="D41" i="40"/>
  <c r="E41" i="40"/>
  <c r="F41" i="40"/>
  <c r="Z73" i="11"/>
  <c r="B16" i="40"/>
  <c r="C16" i="40"/>
  <c r="D16" i="40"/>
  <c r="E16" i="40"/>
  <c r="F16" i="40"/>
  <c r="C24" i="52"/>
  <c r="B43" i="40"/>
  <c r="C43" i="40"/>
  <c r="D43" i="40"/>
  <c r="E43" i="40"/>
  <c r="F43" i="40"/>
  <c r="C13" i="12"/>
  <c r="D14" i="46"/>
  <c r="E14" i="46"/>
  <c r="F14" i="46"/>
  <c r="G14" i="46"/>
  <c r="H14" i="46"/>
  <c r="AC31" i="11"/>
  <c r="AC38" i="11"/>
  <c r="AC14" i="11"/>
  <c r="AC15" i="11"/>
  <c r="AC16" i="11"/>
  <c r="AC17" i="11"/>
  <c r="D65" i="29"/>
  <c r="D66" i="29"/>
  <c r="C80" i="29"/>
  <c r="D86" i="29"/>
  <c r="D87" i="29"/>
  <c r="D37" i="40"/>
  <c r="B15" i="29"/>
  <c r="B22" i="29"/>
  <c r="N39" i="11"/>
  <c r="N20" i="11"/>
  <c r="R39" i="11"/>
  <c r="U39" i="11"/>
  <c r="U38" i="11"/>
  <c r="R38" i="11"/>
  <c r="N38" i="11"/>
  <c r="C82" i="29"/>
  <c r="C68" i="29"/>
  <c r="C9" i="29"/>
  <c r="N73" i="11"/>
  <c r="E9" i="29"/>
  <c r="D9" i="29"/>
  <c r="C16" i="29"/>
  <c r="R73" i="11"/>
  <c r="V73" i="11"/>
  <c r="R20" i="11"/>
  <c r="U20" i="11"/>
  <c r="T12" i="11"/>
  <c r="T13" i="11"/>
  <c r="L14" i="11"/>
  <c r="T14" i="11"/>
  <c r="X11" i="11"/>
  <c r="X14" i="11"/>
  <c r="D23" i="29"/>
  <c r="L12" i="11"/>
  <c r="L13" i="11"/>
  <c r="L11" i="11"/>
  <c r="T11" i="11"/>
  <c r="X12" i="11"/>
  <c r="E23" i="29"/>
  <c r="C23" i="29"/>
  <c r="E30" i="29"/>
  <c r="D30" i="29"/>
  <c r="C30" i="29"/>
  <c r="F31" i="29"/>
  <c r="D16" i="29"/>
  <c r="E16" i="29"/>
  <c r="B8" i="29"/>
  <c r="B10" i="29"/>
  <c r="B29" i="29"/>
  <c r="C29" i="29"/>
  <c r="D29" i="29"/>
  <c r="E29" i="29"/>
  <c r="C20" i="40"/>
  <c r="C19" i="40"/>
  <c r="D19" i="40"/>
  <c r="E19" i="40"/>
  <c r="F19" i="40"/>
  <c r="F15" i="29"/>
  <c r="F17" i="29"/>
  <c r="F8" i="29"/>
  <c r="F10" i="29"/>
  <c r="D89" i="29"/>
  <c r="D88" i="29"/>
  <c r="E86" i="29"/>
  <c r="C88" i="29"/>
  <c r="D82" i="29"/>
  <c r="D81" i="29"/>
  <c r="E79" i="29"/>
  <c r="C81" i="29"/>
  <c r="C75" i="29"/>
  <c r="C74" i="29"/>
  <c r="D72" i="29"/>
  <c r="D68" i="29"/>
  <c r="D67" i="29"/>
  <c r="E65" i="29"/>
  <c r="C67" i="29"/>
  <c r="C47" i="29"/>
  <c r="C46" i="29"/>
  <c r="D44" i="29"/>
  <c r="C40" i="29"/>
  <c r="D40" i="29"/>
  <c r="D39" i="29"/>
  <c r="E40" i="29"/>
  <c r="E39" i="29"/>
  <c r="F40" i="29"/>
  <c r="F39" i="29"/>
  <c r="C39" i="29"/>
  <c r="E8" i="29"/>
  <c r="C8" i="29"/>
  <c r="D8" i="29"/>
  <c r="G114" i="11"/>
  <c r="G113" i="11"/>
  <c r="G112" i="11"/>
  <c r="G111" i="11"/>
  <c r="G104" i="11"/>
  <c r="G98" i="11"/>
  <c r="G97" i="11"/>
  <c r="F91" i="11"/>
  <c r="E87" i="11"/>
  <c r="E91" i="11"/>
  <c r="G80" i="11"/>
  <c r="G79" i="11"/>
  <c r="G76" i="11"/>
  <c r="G75" i="11"/>
  <c r="G74" i="11"/>
  <c r="G73" i="11"/>
  <c r="G70" i="11"/>
  <c r="G69" i="11"/>
  <c r="G64" i="11"/>
  <c r="G63" i="11"/>
  <c r="G60" i="11"/>
  <c r="G59" i="11"/>
  <c r="G58" i="11"/>
  <c r="G51" i="11"/>
  <c r="G50" i="11"/>
  <c r="G47" i="11"/>
  <c r="G46" i="11"/>
  <c r="G45" i="11"/>
  <c r="G44" i="11"/>
  <c r="G38" i="11"/>
  <c r="G42" i="11"/>
  <c r="G35" i="11"/>
  <c r="G34" i="11"/>
  <c r="G33" i="11"/>
  <c r="G32" i="11"/>
  <c r="G31" i="11"/>
  <c r="G30" i="11"/>
  <c r="G23" i="11"/>
  <c r="G22" i="11"/>
  <c r="G21" i="11"/>
  <c r="G20" i="11"/>
  <c r="G14" i="11"/>
  <c r="G13" i="11"/>
  <c r="G12" i="11"/>
  <c r="G11" i="11"/>
  <c r="D31" i="29"/>
  <c r="C31" i="29"/>
  <c r="AC44" i="11"/>
  <c r="AC39" i="11"/>
  <c r="AC18" i="11"/>
  <c r="AC20" i="11"/>
  <c r="C10" i="29"/>
  <c r="P113" i="11"/>
  <c r="E37" i="40"/>
  <c r="D10" i="29"/>
  <c r="E10" i="29"/>
  <c r="G105" i="11"/>
  <c r="V39" i="11"/>
  <c r="Y39" i="11"/>
  <c r="Z39" i="11"/>
  <c r="V38" i="11"/>
  <c r="Y38" i="11"/>
  <c r="Z38" i="11"/>
  <c r="E31" i="29"/>
  <c r="V20" i="11"/>
  <c r="Y20" i="11"/>
  <c r="Z20" i="11"/>
  <c r="G52" i="11"/>
  <c r="G81" i="11"/>
  <c r="G65" i="11"/>
  <c r="G61" i="11"/>
  <c r="G48" i="11"/>
  <c r="G36" i="11"/>
  <c r="G24" i="11"/>
  <c r="D20" i="40"/>
  <c r="C22" i="29"/>
  <c r="C24" i="29"/>
  <c r="C15" i="29"/>
  <c r="C17" i="29"/>
  <c r="E15" i="29"/>
  <c r="E17" i="29"/>
  <c r="D15" i="29"/>
  <c r="D17" i="29"/>
  <c r="E87" i="29"/>
  <c r="F86" i="29"/>
  <c r="F87" i="29"/>
  <c r="E80" i="29"/>
  <c r="F79" i="29"/>
  <c r="F80" i="29"/>
  <c r="D73" i="29"/>
  <c r="E72" i="29"/>
  <c r="E66" i="29"/>
  <c r="F65" i="29"/>
  <c r="F66" i="29"/>
  <c r="E44" i="29"/>
  <c r="D45" i="29"/>
  <c r="G87" i="11"/>
  <c r="F93" i="11"/>
  <c r="G118" i="11"/>
  <c r="G120" i="11"/>
  <c r="G77" i="11"/>
  <c r="E93" i="11"/>
  <c r="G71" i="11"/>
  <c r="G15" i="11"/>
  <c r="G16" i="11"/>
  <c r="E88" i="11"/>
  <c r="E89" i="11"/>
  <c r="E90" i="11"/>
  <c r="G90" i="11"/>
  <c r="B96" i="29"/>
  <c r="B46" i="24"/>
  <c r="B45" i="24"/>
  <c r="J33" i="11"/>
  <c r="J44" i="11"/>
  <c r="J45" i="11"/>
  <c r="AC22" i="11"/>
  <c r="AC24" i="11"/>
  <c r="F37" i="40"/>
  <c r="X113" i="11"/>
  <c r="T113" i="11"/>
  <c r="G54" i="11"/>
  <c r="E20" i="40"/>
  <c r="D22" i="29"/>
  <c r="D24" i="29"/>
  <c r="F89" i="29"/>
  <c r="F88" i="29"/>
  <c r="E89" i="29"/>
  <c r="E88" i="29"/>
  <c r="E82" i="29"/>
  <c r="E81" i="29"/>
  <c r="F82" i="29"/>
  <c r="F81" i="29"/>
  <c r="E73" i="29"/>
  <c r="F72" i="29"/>
  <c r="F73" i="29"/>
  <c r="D75" i="29"/>
  <c r="D74" i="29"/>
  <c r="F68" i="29"/>
  <c r="F67" i="29"/>
  <c r="E68" i="29"/>
  <c r="E67" i="29"/>
  <c r="D47" i="29"/>
  <c r="D46" i="29"/>
  <c r="F44" i="29"/>
  <c r="F45" i="29"/>
  <c r="E45" i="29"/>
  <c r="G88" i="11"/>
  <c r="G83" i="11"/>
  <c r="G89" i="11"/>
  <c r="G91" i="11"/>
  <c r="G18" i="11"/>
  <c r="G26" i="11"/>
  <c r="G93" i="11"/>
  <c r="F20" i="40"/>
  <c r="F22" i="29"/>
  <c r="F24" i="29"/>
  <c r="E22" i="29"/>
  <c r="E24" i="29"/>
  <c r="F74" i="29"/>
  <c r="F75" i="29"/>
  <c r="E75" i="29"/>
  <c r="E74" i="29"/>
  <c r="F46" i="29"/>
  <c r="F47" i="29"/>
  <c r="E47" i="29"/>
  <c r="E46" i="29"/>
  <c r="A31" i="51"/>
  <c r="A29" i="51"/>
  <c r="A28" i="51"/>
  <c r="A23" i="51"/>
  <c r="A21" i="51"/>
  <c r="A20" i="51"/>
  <c r="A19" i="51"/>
  <c r="A18" i="51"/>
  <c r="A17" i="51"/>
  <c r="A15" i="51"/>
  <c r="A14" i="51"/>
  <c r="A13" i="51"/>
  <c r="A120" i="11"/>
  <c r="A32" i="51"/>
  <c r="A107" i="11"/>
  <c r="A30" i="51"/>
  <c r="A93" i="11"/>
  <c r="A24" i="51"/>
  <c r="A83" i="11"/>
  <c r="A22" i="51"/>
  <c r="A54" i="11"/>
  <c r="A16" i="51"/>
  <c r="A26" i="11"/>
  <c r="A11" i="51"/>
  <c r="A12" i="51"/>
  <c r="A10" i="51"/>
  <c r="A9" i="51"/>
  <c r="A111" i="11"/>
  <c r="A112" i="11"/>
  <c r="A113" i="11"/>
  <c r="A114" i="11"/>
  <c r="A115" i="11"/>
  <c r="A116" i="11"/>
  <c r="A117" i="11"/>
  <c r="A2" i="51"/>
  <c r="A1" i="51"/>
  <c r="C71" i="22"/>
  <c r="E71" i="22"/>
  <c r="G71" i="22"/>
  <c r="I71" i="22"/>
  <c r="K71" i="22"/>
  <c r="C116" i="46"/>
  <c r="C208" i="46"/>
  <c r="C205" i="46"/>
  <c r="C202" i="46"/>
  <c r="C199" i="46"/>
  <c r="C196" i="46"/>
  <c r="C193" i="46"/>
  <c r="C190" i="46"/>
  <c r="C187" i="46"/>
  <c r="C184" i="46"/>
  <c r="C181" i="46"/>
  <c r="C178" i="46"/>
  <c r="C175" i="46"/>
  <c r="C169" i="46"/>
  <c r="C166" i="46"/>
  <c r="C156" i="46"/>
  <c r="C142" i="46"/>
  <c r="C131" i="46"/>
  <c r="C119" i="46"/>
  <c r="C113" i="46"/>
  <c r="C110" i="46"/>
  <c r="C107" i="46"/>
  <c r="C104" i="46"/>
  <c r="C101" i="46"/>
  <c r="C98" i="46"/>
  <c r="C95" i="46"/>
  <c r="C84" i="46"/>
  <c r="C80" i="46"/>
  <c r="C77" i="46"/>
  <c r="C74" i="46"/>
  <c r="C71" i="46"/>
  <c r="C67" i="46"/>
  <c r="C60" i="46"/>
  <c r="C68" i="46"/>
  <c r="C61" i="46"/>
  <c r="C56" i="46"/>
  <c r="C53" i="46"/>
  <c r="C52" i="46"/>
  <c r="C51" i="46"/>
  <c r="C47" i="46"/>
  <c r="C43" i="46"/>
  <c r="C40" i="46"/>
  <c r="C39" i="46"/>
  <c r="C36" i="46"/>
  <c r="C35" i="46"/>
  <c r="C34" i="46"/>
  <c r="C30" i="46"/>
  <c r="C29" i="46"/>
  <c r="C25" i="46"/>
  <c r="C21" i="46"/>
  <c r="C13" i="46"/>
  <c r="C8" i="46"/>
  <c r="K16" i="11"/>
  <c r="O16" i="11"/>
  <c r="S16" i="11"/>
  <c r="W16" i="11"/>
  <c r="A55" i="40"/>
  <c r="AC103" i="11"/>
  <c r="AC97" i="11"/>
  <c r="AC98" i="11"/>
  <c r="AC99" i="11"/>
  <c r="AC100" i="11"/>
  <c r="Z64" i="11"/>
  <c r="V64" i="11"/>
  <c r="R64" i="11"/>
  <c r="N64" i="11"/>
  <c r="J64" i="11"/>
  <c r="J63" i="11"/>
  <c r="N58" i="11"/>
  <c r="K14" i="47"/>
  <c r="M14" i="47"/>
  <c r="N14" i="47"/>
  <c r="O14" i="47"/>
  <c r="P14" i="47"/>
  <c r="K15" i="47"/>
  <c r="M15" i="47"/>
  <c r="N15" i="47"/>
  <c r="O15" i="47"/>
  <c r="P15" i="47"/>
  <c r="K16" i="47"/>
  <c r="M16" i="47"/>
  <c r="N16" i="47"/>
  <c r="O16" i="47"/>
  <c r="P16" i="47"/>
  <c r="K17" i="47"/>
  <c r="M17" i="47"/>
  <c r="N17" i="47"/>
  <c r="O17" i="47"/>
  <c r="P17" i="47"/>
  <c r="K18" i="47"/>
  <c r="M18" i="47"/>
  <c r="N18" i="47"/>
  <c r="O18" i="47"/>
  <c r="P18" i="47"/>
  <c r="K19" i="47"/>
  <c r="M19" i="47"/>
  <c r="N19" i="47"/>
  <c r="O19" i="47"/>
  <c r="P19" i="47"/>
  <c r="K20" i="47"/>
  <c r="M20" i="47"/>
  <c r="K8" i="47"/>
  <c r="M8" i="47"/>
  <c r="N8" i="47"/>
  <c r="O8" i="47"/>
  <c r="P8" i="47"/>
  <c r="K9" i="47"/>
  <c r="M9" i="47"/>
  <c r="N9" i="47"/>
  <c r="O9" i="47"/>
  <c r="P9" i="47"/>
  <c r="C92" i="46"/>
  <c r="C88" i="46"/>
  <c r="C94" i="46"/>
  <c r="C38" i="46"/>
  <c r="J30" i="11"/>
  <c r="I23" i="47"/>
  <c r="G23" i="47"/>
  <c r="F23" i="47"/>
  <c r="E23" i="47"/>
  <c r="F25" i="47"/>
  <c r="I25" i="47"/>
  <c r="F26" i="47"/>
  <c r="G26" i="47"/>
  <c r="I26" i="47"/>
  <c r="E26" i="47"/>
  <c r="E25" i="47"/>
  <c r="K7" i="47"/>
  <c r="M7" i="47"/>
  <c r="N7" i="47"/>
  <c r="O7" i="47"/>
  <c r="P7" i="47"/>
  <c r="K6" i="47"/>
  <c r="M6" i="47"/>
  <c r="N6" i="47"/>
  <c r="O6" i="47"/>
  <c r="P6" i="47"/>
  <c r="Z75" i="11"/>
  <c r="J23" i="47"/>
  <c r="C11" i="16"/>
  <c r="C12" i="16"/>
  <c r="C13" i="16"/>
  <c r="C15" i="16"/>
  <c r="C16" i="16"/>
  <c r="Z98" i="11"/>
  <c r="V98" i="11"/>
  <c r="R98" i="11"/>
  <c r="N98" i="11"/>
  <c r="J98" i="11"/>
  <c r="J111" i="11"/>
  <c r="Z76" i="11"/>
  <c r="V76" i="11"/>
  <c r="R76" i="11"/>
  <c r="N76" i="11"/>
  <c r="J76" i="11"/>
  <c r="V75" i="11"/>
  <c r="R75" i="11"/>
  <c r="N75" i="11"/>
  <c r="J75" i="11"/>
  <c r="H23" i="47"/>
  <c r="T87" i="11"/>
  <c r="H26" i="47"/>
  <c r="H25" i="47"/>
  <c r="C22" i="16"/>
  <c r="C28" i="16"/>
  <c r="C26" i="16"/>
  <c r="C31" i="16"/>
  <c r="C23" i="16"/>
  <c r="W101" i="11"/>
  <c r="W90" i="11"/>
  <c r="W89" i="11"/>
  <c r="W88" i="11"/>
  <c r="W87" i="11"/>
  <c r="W85" i="11"/>
  <c r="W81" i="11"/>
  <c r="W71" i="11"/>
  <c r="W65" i="11"/>
  <c r="W61" i="11"/>
  <c r="W52" i="11"/>
  <c r="W48" i="11"/>
  <c r="W42" i="11"/>
  <c r="W36" i="11"/>
  <c r="W18" i="11"/>
  <c r="W9" i="11"/>
  <c r="W28" i="11"/>
  <c r="S101" i="11"/>
  <c r="S90" i="11"/>
  <c r="S89" i="11"/>
  <c r="S88" i="11"/>
  <c r="S87" i="11"/>
  <c r="S85" i="11"/>
  <c r="S81" i="11"/>
  <c r="S77" i="11"/>
  <c r="S71" i="11"/>
  <c r="S65" i="11"/>
  <c r="S61" i="11"/>
  <c r="S52" i="11"/>
  <c r="S48" i="11"/>
  <c r="S42" i="11"/>
  <c r="S36" i="11"/>
  <c r="S18" i="11"/>
  <c r="S9" i="11"/>
  <c r="S28" i="11"/>
  <c r="O101" i="11"/>
  <c r="O85" i="11"/>
  <c r="O81" i="11"/>
  <c r="O77" i="11"/>
  <c r="O71" i="11"/>
  <c r="O65" i="11"/>
  <c r="O61" i="11"/>
  <c r="O52" i="11"/>
  <c r="O48" i="11"/>
  <c r="O42" i="11"/>
  <c r="O36" i="11"/>
  <c r="O18" i="11"/>
  <c r="O9" i="11"/>
  <c r="O28" i="11"/>
  <c r="AA9" i="11"/>
  <c r="AA28" i="11"/>
  <c r="AA56" i="11"/>
  <c r="AA85" i="11"/>
  <c r="AA95" i="11"/>
  <c r="AA109" i="11"/>
  <c r="L23" i="47"/>
  <c r="K90" i="11"/>
  <c r="K85" i="11"/>
  <c r="K81" i="11"/>
  <c r="K71" i="11"/>
  <c r="K65" i="11"/>
  <c r="K61" i="11"/>
  <c r="K9" i="11"/>
  <c r="K28" i="11"/>
  <c r="K52" i="11"/>
  <c r="K48" i="11"/>
  <c r="K42" i="11"/>
  <c r="K36" i="11"/>
  <c r="K18" i="11"/>
  <c r="D100" i="29"/>
  <c r="B98" i="29"/>
  <c r="B97" i="29"/>
  <c r="A2" i="47"/>
  <c r="A1" i="47"/>
  <c r="X87" i="11"/>
  <c r="P87" i="11"/>
  <c r="L87" i="11"/>
  <c r="L88" i="11"/>
  <c r="L89" i="11"/>
  <c r="L90" i="11"/>
  <c r="L91" i="11"/>
  <c r="L93" i="11"/>
  <c r="H87" i="11"/>
  <c r="H88" i="11"/>
  <c r="H89" i="11"/>
  <c r="C7" i="40"/>
  <c r="Z112" i="11"/>
  <c r="V112" i="11"/>
  <c r="W112" i="11"/>
  <c r="R112" i="11"/>
  <c r="S112" i="11"/>
  <c r="N112" i="11"/>
  <c r="O112" i="11"/>
  <c r="Z80" i="11"/>
  <c r="V80" i="11"/>
  <c r="R80" i="11"/>
  <c r="N80" i="11"/>
  <c r="Z70" i="11"/>
  <c r="Z69" i="11"/>
  <c r="V70" i="11"/>
  <c r="V69" i="11"/>
  <c r="R70" i="11"/>
  <c r="R69" i="11"/>
  <c r="N70" i="11"/>
  <c r="N69" i="11"/>
  <c r="Z65" i="11"/>
  <c r="F18" i="51"/>
  <c r="R65" i="11"/>
  <c r="D18" i="51"/>
  <c r="Z35" i="11"/>
  <c r="V35" i="11"/>
  <c r="R35" i="11"/>
  <c r="N35" i="11"/>
  <c r="Z23" i="11"/>
  <c r="Z22" i="11"/>
  <c r="Z21" i="11"/>
  <c r="V23" i="11"/>
  <c r="V22" i="11"/>
  <c r="V21" i="11"/>
  <c r="R23" i="11"/>
  <c r="R22" i="11"/>
  <c r="R21" i="11"/>
  <c r="N23" i="11"/>
  <c r="N22" i="11"/>
  <c r="N21" i="11"/>
  <c r="K74" i="22"/>
  <c r="K73" i="22"/>
  <c r="K72" i="22"/>
  <c r="I74" i="22"/>
  <c r="I73" i="22"/>
  <c r="I72" i="22"/>
  <c r="G74" i="22"/>
  <c r="G73" i="22"/>
  <c r="G72" i="22"/>
  <c r="E74" i="22"/>
  <c r="E73" i="22"/>
  <c r="E72" i="22"/>
  <c r="C74" i="22"/>
  <c r="C73" i="22"/>
  <c r="C72" i="22"/>
  <c r="D101" i="16"/>
  <c r="E101" i="16"/>
  <c r="F101" i="16"/>
  <c r="G101" i="16"/>
  <c r="A81" i="22"/>
  <c r="AC104" i="11"/>
  <c r="A52" i="22"/>
  <c r="A51" i="22"/>
  <c r="A60" i="22"/>
  <c r="A50" i="22"/>
  <c r="A49" i="22"/>
  <c r="A48" i="22"/>
  <c r="A42" i="22"/>
  <c r="A41" i="22"/>
  <c r="A40" i="22"/>
  <c r="E156" i="46"/>
  <c r="E166" i="46"/>
  <c r="E169" i="46"/>
  <c r="E175" i="46"/>
  <c r="E178" i="46"/>
  <c r="E184" i="46"/>
  <c r="E187" i="46"/>
  <c r="E190" i="46"/>
  <c r="E193" i="46"/>
  <c r="E196" i="46"/>
  <c r="E199" i="46"/>
  <c r="E202" i="46"/>
  <c r="E205" i="46"/>
  <c r="E208" i="46"/>
  <c r="E8" i="46"/>
  <c r="E21" i="46"/>
  <c r="E25" i="46"/>
  <c r="E56" i="46"/>
  <c r="E61" i="46"/>
  <c r="E68" i="46"/>
  <c r="E71" i="46"/>
  <c r="E74" i="46"/>
  <c r="E77" i="46"/>
  <c r="E80" i="46"/>
  <c r="E84" i="46"/>
  <c r="E98" i="46"/>
  <c r="E101" i="46"/>
  <c r="E104" i="46"/>
  <c r="E107" i="46"/>
  <c r="E110" i="46"/>
  <c r="E113" i="46"/>
  <c r="E116" i="46"/>
  <c r="E119" i="46"/>
  <c r="E131" i="46"/>
  <c r="F156" i="46"/>
  <c r="F166" i="46"/>
  <c r="F169" i="46"/>
  <c r="F175" i="46"/>
  <c r="F178" i="46"/>
  <c r="F184" i="46"/>
  <c r="F187" i="46"/>
  <c r="F190" i="46"/>
  <c r="F193" i="46"/>
  <c r="F196" i="46"/>
  <c r="F202" i="46"/>
  <c r="F205" i="46"/>
  <c r="F208" i="46"/>
  <c r="F8" i="46"/>
  <c r="F21" i="46"/>
  <c r="F25" i="46"/>
  <c r="F56" i="46"/>
  <c r="F61" i="46"/>
  <c r="F68" i="46"/>
  <c r="F71" i="46"/>
  <c r="F74" i="46"/>
  <c r="F77" i="46"/>
  <c r="F80" i="46"/>
  <c r="F84" i="46"/>
  <c r="F98" i="46"/>
  <c r="F101" i="46"/>
  <c r="F104" i="46"/>
  <c r="F107" i="46"/>
  <c r="F110" i="46"/>
  <c r="F113" i="46"/>
  <c r="F116" i="46"/>
  <c r="F119" i="46"/>
  <c r="F131" i="46"/>
  <c r="G156" i="46"/>
  <c r="G166" i="46"/>
  <c r="G169" i="46"/>
  <c r="G175" i="46"/>
  <c r="G178" i="46"/>
  <c r="G184" i="46"/>
  <c r="G187" i="46"/>
  <c r="G190" i="46"/>
  <c r="G193" i="46"/>
  <c r="G196" i="46"/>
  <c r="G202" i="46"/>
  <c r="G205" i="46"/>
  <c r="G208" i="46"/>
  <c r="G8" i="46"/>
  <c r="G21" i="46"/>
  <c r="G25" i="46"/>
  <c r="G56" i="46"/>
  <c r="G61" i="46"/>
  <c r="G68" i="46"/>
  <c r="G71" i="46"/>
  <c r="G74" i="46"/>
  <c r="G77" i="46"/>
  <c r="G80" i="46"/>
  <c r="G84" i="46"/>
  <c r="G98" i="46"/>
  <c r="G101" i="46"/>
  <c r="G104" i="46"/>
  <c r="G107" i="46"/>
  <c r="G110" i="46"/>
  <c r="G113" i="46"/>
  <c r="G116" i="46"/>
  <c r="G119" i="46"/>
  <c r="G131" i="46"/>
  <c r="H156" i="46"/>
  <c r="H166" i="46"/>
  <c r="H169" i="46"/>
  <c r="H175" i="46"/>
  <c r="H178" i="46"/>
  <c r="H184" i="46"/>
  <c r="H187" i="46"/>
  <c r="H190" i="46"/>
  <c r="H193" i="46"/>
  <c r="H196" i="46"/>
  <c r="H202" i="46"/>
  <c r="H205" i="46"/>
  <c r="H208" i="46"/>
  <c r="H8" i="46"/>
  <c r="H21" i="46"/>
  <c r="H25" i="46"/>
  <c r="H56" i="46"/>
  <c r="H61" i="46"/>
  <c r="H68" i="46"/>
  <c r="H71" i="46"/>
  <c r="H74" i="46"/>
  <c r="H77" i="46"/>
  <c r="H80" i="46"/>
  <c r="H84" i="46"/>
  <c r="H98" i="46"/>
  <c r="H101" i="46"/>
  <c r="H104" i="46"/>
  <c r="H107" i="46"/>
  <c r="H110" i="46"/>
  <c r="H113" i="46"/>
  <c r="H116" i="46"/>
  <c r="H119" i="46"/>
  <c r="H131" i="46"/>
  <c r="D98" i="46"/>
  <c r="D101" i="46"/>
  <c r="D104" i="46"/>
  <c r="D107" i="46"/>
  <c r="D110" i="46"/>
  <c r="D113" i="46"/>
  <c r="D116" i="46"/>
  <c r="D119" i="46"/>
  <c r="D8" i="46"/>
  <c r="D21" i="46"/>
  <c r="D25" i="46"/>
  <c r="D56" i="46"/>
  <c r="D61" i="46"/>
  <c r="D68" i="46"/>
  <c r="D71" i="46"/>
  <c r="D74" i="46"/>
  <c r="D77" i="46"/>
  <c r="D80" i="46"/>
  <c r="D84" i="46"/>
  <c r="D156" i="46"/>
  <c r="D166" i="46"/>
  <c r="D169" i="46"/>
  <c r="D175" i="46"/>
  <c r="D178" i="46"/>
  <c r="D184" i="46"/>
  <c r="D187" i="46"/>
  <c r="D190" i="46"/>
  <c r="D193" i="46"/>
  <c r="D196" i="46"/>
  <c r="D199" i="46"/>
  <c r="D202" i="46"/>
  <c r="D205" i="46"/>
  <c r="C27" i="18"/>
  <c r="C28" i="18"/>
  <c r="C36" i="18"/>
  <c r="C37" i="18"/>
  <c r="C38" i="18"/>
  <c r="C41" i="18"/>
  <c r="C42" i="18"/>
  <c r="C43" i="18"/>
  <c r="C44" i="18"/>
  <c r="C45" i="18"/>
  <c r="C46" i="18"/>
  <c r="C48" i="18"/>
  <c r="C49" i="18"/>
  <c r="C50" i="18"/>
  <c r="C51" i="18"/>
  <c r="C53" i="18"/>
  <c r="C54" i="18"/>
  <c r="C55" i="18"/>
  <c r="C57" i="18"/>
  <c r="C60" i="18"/>
  <c r="C61" i="18"/>
  <c r="C62" i="18"/>
  <c r="C64" i="18"/>
  <c r="C65" i="18"/>
  <c r="C69" i="18"/>
  <c r="C70" i="18"/>
  <c r="C71" i="18"/>
  <c r="C73" i="18"/>
  <c r="C74" i="18"/>
  <c r="D27" i="18"/>
  <c r="D28" i="18"/>
  <c r="D36" i="18"/>
  <c r="D37" i="18"/>
  <c r="D38" i="18"/>
  <c r="D41" i="18"/>
  <c r="D42" i="18"/>
  <c r="D43" i="18"/>
  <c r="D44" i="18"/>
  <c r="D45" i="18"/>
  <c r="D46" i="18"/>
  <c r="D48" i="18"/>
  <c r="D49" i="18"/>
  <c r="D50" i="18"/>
  <c r="D51" i="18"/>
  <c r="D53" i="18"/>
  <c r="D54" i="18"/>
  <c r="D55" i="18"/>
  <c r="D57" i="18"/>
  <c r="D60" i="18"/>
  <c r="D61" i="18"/>
  <c r="D62" i="18"/>
  <c r="D64" i="18"/>
  <c r="D65" i="18"/>
  <c r="D69" i="18"/>
  <c r="D70" i="18"/>
  <c r="D71" i="18"/>
  <c r="D73" i="18"/>
  <c r="D74" i="18"/>
  <c r="E27" i="18"/>
  <c r="E28" i="18"/>
  <c r="E36" i="18"/>
  <c r="E37" i="18"/>
  <c r="E38" i="18"/>
  <c r="E41" i="18"/>
  <c r="E42" i="18"/>
  <c r="E43" i="18"/>
  <c r="E44" i="18"/>
  <c r="E45" i="18"/>
  <c r="E46" i="18"/>
  <c r="E48" i="18"/>
  <c r="E49" i="18"/>
  <c r="E50" i="18"/>
  <c r="E51" i="18"/>
  <c r="E53" i="18"/>
  <c r="E54" i="18"/>
  <c r="E55" i="18"/>
  <c r="E57" i="18"/>
  <c r="E60" i="18"/>
  <c r="E61" i="18"/>
  <c r="E62" i="18"/>
  <c r="E64" i="18"/>
  <c r="E65" i="18"/>
  <c r="E69" i="18"/>
  <c r="E70" i="18"/>
  <c r="E71" i="18"/>
  <c r="E73" i="18"/>
  <c r="E74" i="18"/>
  <c r="F27" i="18"/>
  <c r="F28" i="18"/>
  <c r="F36" i="18"/>
  <c r="F37" i="18"/>
  <c r="F38" i="18"/>
  <c r="F41" i="18"/>
  <c r="F42" i="18"/>
  <c r="F43" i="18"/>
  <c r="F44" i="18"/>
  <c r="F45" i="18"/>
  <c r="F46" i="18"/>
  <c r="F48" i="18"/>
  <c r="F49" i="18"/>
  <c r="F50" i="18"/>
  <c r="F51" i="18"/>
  <c r="F53" i="18"/>
  <c r="F54" i="18"/>
  <c r="F55" i="18"/>
  <c r="F57" i="18"/>
  <c r="F60" i="18"/>
  <c r="F61" i="18"/>
  <c r="F62" i="18"/>
  <c r="F64" i="18"/>
  <c r="F65" i="18"/>
  <c r="F69" i="18"/>
  <c r="F70" i="18"/>
  <c r="F71" i="18"/>
  <c r="F73" i="18"/>
  <c r="F74" i="18"/>
  <c r="G27" i="18"/>
  <c r="G28" i="18"/>
  <c r="G36" i="18"/>
  <c r="G37" i="18"/>
  <c r="G38" i="18"/>
  <c r="G41" i="18"/>
  <c r="G42" i="18"/>
  <c r="G43" i="18"/>
  <c r="G44" i="18"/>
  <c r="G45" i="18"/>
  <c r="G46" i="18"/>
  <c r="G48" i="18"/>
  <c r="G49" i="18"/>
  <c r="G50" i="18"/>
  <c r="G51" i="18"/>
  <c r="G53" i="18"/>
  <c r="G54" i="18"/>
  <c r="G55" i="18"/>
  <c r="G57" i="18"/>
  <c r="G60" i="18"/>
  <c r="G61" i="18"/>
  <c r="G62" i="18"/>
  <c r="G64" i="18"/>
  <c r="G65" i="18"/>
  <c r="G69" i="18"/>
  <c r="G70" i="18"/>
  <c r="G71" i="18"/>
  <c r="G73" i="18"/>
  <c r="G74" i="18"/>
  <c r="D79" i="18"/>
  <c r="D80" i="18"/>
  <c r="E79" i="18"/>
  <c r="E80" i="18"/>
  <c r="F79" i="18"/>
  <c r="F80" i="18"/>
  <c r="C79" i="18"/>
  <c r="C80" i="18"/>
  <c r="G79" i="18"/>
  <c r="G80" i="18"/>
  <c r="A84" i="22"/>
  <c r="AC32" i="11"/>
  <c r="AC40" i="11"/>
  <c r="AC41" i="11"/>
  <c r="AC45" i="11"/>
  <c r="AC46" i="11"/>
  <c r="AC47" i="11"/>
  <c r="AC51" i="11"/>
  <c r="AC59" i="11"/>
  <c r="AC60" i="11"/>
  <c r="E18" i="24"/>
  <c r="B17" i="24"/>
  <c r="F9" i="24"/>
  <c r="AC112" i="11"/>
  <c r="AC113" i="11"/>
  <c r="N42" i="11"/>
  <c r="N46" i="11"/>
  <c r="N47" i="11"/>
  <c r="J50" i="11"/>
  <c r="J51" i="11"/>
  <c r="N51" i="11"/>
  <c r="R51" i="11"/>
  <c r="V51" i="11"/>
  <c r="Z51" i="11"/>
  <c r="N59" i="11"/>
  <c r="N60" i="11"/>
  <c r="N97" i="11"/>
  <c r="N111" i="11"/>
  <c r="O111" i="11"/>
  <c r="D75" i="18"/>
  <c r="N116" i="11"/>
  <c r="N117" i="11"/>
  <c r="R42" i="11"/>
  <c r="R46" i="11"/>
  <c r="R47" i="11"/>
  <c r="R58" i="11"/>
  <c r="R59" i="11"/>
  <c r="R60" i="11"/>
  <c r="E22" i="18"/>
  <c r="R97" i="11"/>
  <c r="R111" i="11"/>
  <c r="S111" i="11"/>
  <c r="E75" i="18"/>
  <c r="R116" i="11"/>
  <c r="R117" i="11"/>
  <c r="V42" i="11"/>
  <c r="V46" i="11"/>
  <c r="V47" i="11"/>
  <c r="V58" i="11"/>
  <c r="V59" i="11"/>
  <c r="V60" i="11"/>
  <c r="V97" i="11"/>
  <c r="V111" i="11"/>
  <c r="W111" i="11"/>
  <c r="F75" i="18"/>
  <c r="V116" i="11"/>
  <c r="V117" i="11"/>
  <c r="Z42" i="11"/>
  <c r="Z46" i="11"/>
  <c r="Z47" i="11"/>
  <c r="Z58" i="11"/>
  <c r="Z59" i="11"/>
  <c r="Z60" i="11"/>
  <c r="G22" i="18"/>
  <c r="Z97" i="11"/>
  <c r="Z111" i="11"/>
  <c r="G75" i="18"/>
  <c r="Z116" i="11"/>
  <c r="Z117" i="11"/>
  <c r="J21" i="11"/>
  <c r="J22" i="11"/>
  <c r="J23" i="11"/>
  <c r="J34" i="11"/>
  <c r="J35" i="11"/>
  <c r="J38" i="11"/>
  <c r="J42" i="11"/>
  <c r="J46" i="11"/>
  <c r="J47" i="11"/>
  <c r="J58" i="11"/>
  <c r="J59" i="11"/>
  <c r="J60" i="11"/>
  <c r="J69" i="11"/>
  <c r="J70" i="11"/>
  <c r="J80" i="11"/>
  <c r="C22" i="18"/>
  <c r="J97" i="11"/>
  <c r="C66" i="18"/>
  <c r="AC79" i="11"/>
  <c r="A39" i="22"/>
  <c r="A38" i="22"/>
  <c r="A1" i="22"/>
  <c r="A2" i="22"/>
  <c r="O14" i="15"/>
  <c r="O15" i="15"/>
  <c r="O16" i="15"/>
  <c r="O17" i="15"/>
  <c r="O18" i="15"/>
  <c r="O19" i="15"/>
  <c r="O20" i="15"/>
  <c r="O21" i="15"/>
  <c r="O22" i="15"/>
  <c r="O23" i="15"/>
  <c r="O24" i="15"/>
  <c r="A97" i="29"/>
  <c r="A112" i="29"/>
  <c r="A127" i="29"/>
  <c r="A98" i="29"/>
  <c r="A113" i="29"/>
  <c r="A99" i="29"/>
  <c r="A114" i="29"/>
  <c r="A100" i="29"/>
  <c r="A115" i="29"/>
  <c r="A22" i="15"/>
  <c r="A101" i="29"/>
  <c r="A116" i="29"/>
  <c r="A131" i="29"/>
  <c r="A102" i="29"/>
  <c r="A117" i="29"/>
  <c r="A24" i="15"/>
  <c r="B117" i="29"/>
  <c r="C117" i="29"/>
  <c r="D117" i="29"/>
  <c r="E117" i="29"/>
  <c r="A103" i="29"/>
  <c r="A118" i="29"/>
  <c r="B118" i="29"/>
  <c r="C118" i="29"/>
  <c r="L22" i="22"/>
  <c r="L55" i="22"/>
  <c r="A80" i="22"/>
  <c r="T8" i="12"/>
  <c r="Y9" i="12"/>
  <c r="Y10" i="12"/>
  <c r="Z11" i="12"/>
  <c r="T12" i="12"/>
  <c r="Z12" i="12"/>
  <c r="I15" i="12"/>
  <c r="J15" i="12"/>
  <c r="K15" i="12"/>
  <c r="L15" i="12"/>
  <c r="M15" i="12"/>
  <c r="I16" i="12"/>
  <c r="J16" i="12"/>
  <c r="K16" i="12"/>
  <c r="L16" i="12"/>
  <c r="M16" i="12"/>
  <c r="H19" i="46"/>
  <c r="H17" i="46"/>
  <c r="I45" i="12"/>
  <c r="V45" i="12"/>
  <c r="X52" i="12"/>
  <c r="X53" i="12"/>
  <c r="Z54" i="12"/>
  <c r="I55" i="12"/>
  <c r="V55" i="12"/>
  <c r="Y56" i="12"/>
  <c r="I64" i="12"/>
  <c r="V64" i="12"/>
  <c r="I65" i="12"/>
  <c r="V65" i="12"/>
  <c r="T66" i="12"/>
  <c r="T67" i="12"/>
  <c r="X68" i="12"/>
  <c r="Y69" i="12"/>
  <c r="W72" i="12"/>
  <c r="Z73" i="12"/>
  <c r="I74" i="12"/>
  <c r="V74" i="12"/>
  <c r="I75" i="12"/>
  <c r="V75" i="12"/>
  <c r="C94" i="12"/>
  <c r="B74" i="22"/>
  <c r="D37" i="12"/>
  <c r="D77" i="12"/>
  <c r="D94" i="12"/>
  <c r="D74" i="22"/>
  <c r="E37" i="12"/>
  <c r="E77" i="12"/>
  <c r="E94" i="12"/>
  <c r="F74" i="22"/>
  <c r="F77" i="12"/>
  <c r="G100" i="11"/>
  <c r="F94" i="12"/>
  <c r="H74" i="22"/>
  <c r="G77" i="12"/>
  <c r="G94" i="12"/>
  <c r="J74" i="22"/>
  <c r="A82" i="22"/>
  <c r="A29" i="22"/>
  <c r="A83" i="22"/>
  <c r="A85" i="22"/>
  <c r="A86" i="22"/>
  <c r="A87" i="22"/>
  <c r="I13" i="12"/>
  <c r="V13" i="12"/>
  <c r="I43" i="12"/>
  <c r="J43" i="12"/>
  <c r="K43" i="12"/>
  <c r="L43" i="12"/>
  <c r="M43" i="12"/>
  <c r="L71" i="22"/>
  <c r="D85" i="22"/>
  <c r="F85" i="22"/>
  <c r="H85" i="22"/>
  <c r="J85" i="22"/>
  <c r="A6" i="24"/>
  <c r="A43" i="24"/>
  <c r="D43" i="24"/>
  <c r="D8" i="24"/>
  <c r="E8" i="24"/>
  <c r="F8" i="24"/>
  <c r="A15" i="24"/>
  <c r="A44" i="24"/>
  <c r="D44" i="24"/>
  <c r="D17" i="24"/>
  <c r="E17" i="24"/>
  <c r="F17" i="24"/>
  <c r="A24" i="24"/>
  <c r="A45" i="24"/>
  <c r="D45" i="24"/>
  <c r="D26" i="24"/>
  <c r="E26" i="24"/>
  <c r="E27" i="24"/>
  <c r="F26" i="24"/>
  <c r="D27" i="24"/>
  <c r="F27" i="24"/>
  <c r="D28" i="24"/>
  <c r="A33" i="24"/>
  <c r="A46" i="24"/>
  <c r="D46" i="24"/>
  <c r="D35" i="24"/>
  <c r="E35" i="24"/>
  <c r="E36" i="24"/>
  <c r="F35" i="24"/>
  <c r="D36" i="24"/>
  <c r="F36" i="24"/>
  <c r="D37" i="24"/>
  <c r="B38" i="24"/>
  <c r="B37" i="24"/>
  <c r="B70" i="24"/>
  <c r="D70" i="24"/>
  <c r="E70" i="24"/>
  <c r="F70" i="24"/>
  <c r="B71" i="24"/>
  <c r="E71" i="24"/>
  <c r="B79" i="24"/>
  <c r="D79" i="24"/>
  <c r="E79" i="24"/>
  <c r="F79" i="24"/>
  <c r="B80" i="24"/>
  <c r="F80" i="24"/>
  <c r="B88" i="24"/>
  <c r="D88" i="24"/>
  <c r="E88" i="24"/>
  <c r="F88" i="24"/>
  <c r="B89" i="24"/>
  <c r="F89" i="24"/>
  <c r="B97" i="24"/>
  <c r="D97" i="24"/>
  <c r="E97" i="24"/>
  <c r="F97" i="24"/>
  <c r="B98" i="24"/>
  <c r="E98" i="24"/>
  <c r="B132" i="24"/>
  <c r="D132" i="24"/>
  <c r="E132" i="24"/>
  <c r="F132" i="24"/>
  <c r="B133" i="24"/>
  <c r="B141" i="24"/>
  <c r="D141" i="24"/>
  <c r="E141" i="24"/>
  <c r="F141" i="24"/>
  <c r="B142" i="24"/>
  <c r="F142" i="24"/>
  <c r="B150" i="24"/>
  <c r="D150" i="24"/>
  <c r="E150" i="24"/>
  <c r="F150" i="24"/>
  <c r="B151" i="24"/>
  <c r="F151" i="24"/>
  <c r="B159" i="24"/>
  <c r="D159" i="24"/>
  <c r="E159" i="24"/>
  <c r="F159" i="24"/>
  <c r="B160" i="24"/>
  <c r="F160" i="24"/>
  <c r="B194" i="24"/>
  <c r="D194" i="24"/>
  <c r="E194" i="24"/>
  <c r="F194" i="24"/>
  <c r="B195" i="24"/>
  <c r="E195" i="24"/>
  <c r="B203" i="24"/>
  <c r="D203" i="24"/>
  <c r="E203" i="24"/>
  <c r="F203" i="24"/>
  <c r="B204" i="24"/>
  <c r="D204" i="24"/>
  <c r="B212" i="24"/>
  <c r="D212" i="24"/>
  <c r="E212" i="24"/>
  <c r="F212" i="24"/>
  <c r="B213" i="24"/>
  <c r="B221" i="24"/>
  <c r="D221" i="24"/>
  <c r="E221" i="24"/>
  <c r="F221" i="24"/>
  <c r="B222" i="24"/>
  <c r="F222" i="24"/>
  <c r="B256" i="24"/>
  <c r="D256" i="24"/>
  <c r="E256" i="24"/>
  <c r="F256" i="24"/>
  <c r="B257" i="24"/>
  <c r="B265" i="24"/>
  <c r="D265" i="24"/>
  <c r="E265" i="24"/>
  <c r="F265" i="24"/>
  <c r="B266" i="24"/>
  <c r="F266" i="24"/>
  <c r="B274" i="24"/>
  <c r="D274" i="24"/>
  <c r="E274" i="24"/>
  <c r="F274" i="24"/>
  <c r="B275" i="24"/>
  <c r="B283" i="24"/>
  <c r="D283" i="24"/>
  <c r="E283" i="24"/>
  <c r="F283" i="24"/>
  <c r="B284" i="24"/>
  <c r="F284" i="24"/>
  <c r="A1" i="16"/>
  <c r="A2" i="16"/>
  <c r="B11" i="16"/>
  <c r="D11" i="16"/>
  <c r="D41" i="16"/>
  <c r="E11" i="16"/>
  <c r="F11" i="16"/>
  <c r="F13" i="18"/>
  <c r="F11" i="18"/>
  <c r="F41" i="16"/>
  <c r="G11" i="16"/>
  <c r="G41" i="16"/>
  <c r="B12" i="16"/>
  <c r="B42" i="16"/>
  <c r="D12" i="16"/>
  <c r="D42" i="16"/>
  <c r="E12" i="16"/>
  <c r="E42" i="16"/>
  <c r="F12" i="16"/>
  <c r="F42" i="16"/>
  <c r="G12" i="16"/>
  <c r="G42" i="16"/>
  <c r="B13" i="16"/>
  <c r="B43" i="16"/>
  <c r="D13" i="16"/>
  <c r="D43" i="16"/>
  <c r="E13" i="16"/>
  <c r="E43" i="16"/>
  <c r="F13" i="16"/>
  <c r="F43" i="16"/>
  <c r="G13" i="16"/>
  <c r="G43" i="16"/>
  <c r="B48" i="16"/>
  <c r="A1" i="46"/>
  <c r="A2" i="46"/>
  <c r="A1" i="18"/>
  <c r="A2" i="18"/>
  <c r="C5" i="18"/>
  <c r="C7" i="16"/>
  <c r="B39" i="16"/>
  <c r="A2" i="37"/>
  <c r="B102" i="29"/>
  <c r="B103" i="29"/>
  <c r="A1" i="11"/>
  <c r="A2" i="11"/>
  <c r="A11" i="11"/>
  <c r="A12" i="11"/>
  <c r="A13" i="11"/>
  <c r="A14" i="11"/>
  <c r="A15" i="11"/>
  <c r="A16" i="11"/>
  <c r="A17" i="11"/>
  <c r="A20" i="11"/>
  <c r="AC56" i="11"/>
  <c r="AC85" i="11"/>
  <c r="A30" i="11"/>
  <c r="A38" i="11"/>
  <c r="A39" i="11"/>
  <c r="A40" i="11"/>
  <c r="A41" i="11"/>
  <c r="A44" i="11"/>
  <c r="A50" i="11"/>
  <c r="A51" i="11"/>
  <c r="A58" i="11"/>
  <c r="A63" i="11"/>
  <c r="A64" i="11"/>
  <c r="A67" i="11"/>
  <c r="A68" i="11"/>
  <c r="A69" i="11"/>
  <c r="A70" i="11"/>
  <c r="A73" i="11"/>
  <c r="A79" i="11"/>
  <c r="A80" i="11"/>
  <c r="AC91" i="11"/>
  <c r="A99" i="11"/>
  <c r="A100" i="11"/>
  <c r="A103" i="11"/>
  <c r="A104" i="11"/>
  <c r="A1" i="12"/>
  <c r="A2" i="12"/>
  <c r="T13" i="12"/>
  <c r="W13" i="12"/>
  <c r="X13" i="12"/>
  <c r="Y13" i="12"/>
  <c r="Z13" i="12"/>
  <c r="Z14" i="12"/>
  <c r="G19" i="46"/>
  <c r="G17" i="46"/>
  <c r="F19" i="46"/>
  <c r="F17" i="46"/>
  <c r="E30" i="46"/>
  <c r="E29" i="46"/>
  <c r="F30" i="46"/>
  <c r="F29" i="46"/>
  <c r="G30" i="46"/>
  <c r="G29" i="46"/>
  <c r="H30" i="46"/>
  <c r="H29" i="46"/>
  <c r="AB37" i="12"/>
  <c r="Q39" i="12"/>
  <c r="Q79" i="12"/>
  <c r="S39" i="12"/>
  <c r="S79" i="12"/>
  <c r="T39" i="12"/>
  <c r="T79" i="12"/>
  <c r="C40" i="12"/>
  <c r="T40" i="12"/>
  <c r="W41" i="12"/>
  <c r="E40" i="46"/>
  <c r="E39" i="46"/>
  <c r="Y42" i="12"/>
  <c r="W43" i="12"/>
  <c r="X43" i="12"/>
  <c r="Y43" i="12"/>
  <c r="T44" i="12"/>
  <c r="W44" i="12"/>
  <c r="T45" i="12"/>
  <c r="W45" i="12"/>
  <c r="X45" i="12"/>
  <c r="Y45" i="12"/>
  <c r="Z45" i="12"/>
  <c r="I46" i="12"/>
  <c r="J46" i="12"/>
  <c r="K46" i="12"/>
  <c r="L46" i="12"/>
  <c r="M46" i="12"/>
  <c r="T46" i="12"/>
  <c r="W46" i="12"/>
  <c r="Y46" i="12"/>
  <c r="Z46" i="12"/>
  <c r="D43" i="46"/>
  <c r="I47" i="12"/>
  <c r="V47" i="12"/>
  <c r="T47" i="12"/>
  <c r="W47" i="12"/>
  <c r="Y47" i="12"/>
  <c r="Z47" i="12"/>
  <c r="I48" i="12"/>
  <c r="V48" i="12"/>
  <c r="T48" i="12"/>
  <c r="W48" i="12"/>
  <c r="Y48" i="12"/>
  <c r="Z48" i="12"/>
  <c r="I49" i="12"/>
  <c r="J49" i="12"/>
  <c r="K49" i="12"/>
  <c r="L49" i="12"/>
  <c r="M49" i="12"/>
  <c r="W49" i="12"/>
  <c r="X49" i="12"/>
  <c r="Z49" i="12"/>
  <c r="I50" i="12"/>
  <c r="V50" i="12"/>
  <c r="J50" i="12"/>
  <c r="K50" i="12"/>
  <c r="L50" i="12"/>
  <c r="M50" i="12"/>
  <c r="Y55" i="12"/>
  <c r="X57" i="12"/>
  <c r="X58" i="12"/>
  <c r="X59" i="12"/>
  <c r="I59" i="12"/>
  <c r="V59" i="12"/>
  <c r="T59" i="12"/>
  <c r="W59" i="12"/>
  <c r="Y59" i="12"/>
  <c r="Z59" i="12"/>
  <c r="X60" i="12"/>
  <c r="I60" i="12"/>
  <c r="V60" i="12"/>
  <c r="J60" i="12"/>
  <c r="K60" i="12"/>
  <c r="L60" i="12"/>
  <c r="M60" i="12"/>
  <c r="T60" i="12"/>
  <c r="W60" i="12"/>
  <c r="Y60" i="12"/>
  <c r="Z60" i="12"/>
  <c r="I61" i="12"/>
  <c r="V61" i="12"/>
  <c r="T61" i="12"/>
  <c r="W61" i="12"/>
  <c r="Y61" i="12"/>
  <c r="Z61" i="12"/>
  <c r="I62" i="12"/>
  <c r="J62" i="12"/>
  <c r="K62" i="12"/>
  <c r="L62" i="12"/>
  <c r="M62" i="12"/>
  <c r="T62" i="12"/>
  <c r="W62" i="12"/>
  <c r="Y62" i="12"/>
  <c r="Z62" i="12"/>
  <c r="Y63" i="12"/>
  <c r="W70" i="12"/>
  <c r="I71" i="12"/>
  <c r="V71" i="12"/>
  <c r="T71" i="12"/>
  <c r="W71" i="12"/>
  <c r="X71" i="12"/>
  <c r="Y71" i="12"/>
  <c r="Z71" i="12"/>
  <c r="X73" i="12"/>
  <c r="T75" i="12"/>
  <c r="W75" i="12"/>
  <c r="X75" i="12"/>
  <c r="Y75" i="12"/>
  <c r="Z75" i="12"/>
  <c r="X76" i="12"/>
  <c r="AB77" i="12"/>
  <c r="T80" i="12"/>
  <c r="T81" i="12"/>
  <c r="T82" i="12"/>
  <c r="T83" i="12"/>
  <c r="T84" i="12"/>
  <c r="T85" i="12"/>
  <c r="T86" i="12"/>
  <c r="T87" i="12"/>
  <c r="T88" i="12"/>
  <c r="T89" i="12"/>
  <c r="T90" i="12"/>
  <c r="T91" i="12"/>
  <c r="T92" i="12"/>
  <c r="T93" i="12"/>
  <c r="E110" i="12"/>
  <c r="J110" i="12"/>
  <c r="L110" i="12"/>
  <c r="C110" i="12"/>
  <c r="G110" i="12"/>
  <c r="A1" i="15"/>
  <c r="A2" i="15"/>
  <c r="A6" i="15"/>
  <c r="A7" i="15"/>
  <c r="A8" i="15"/>
  <c r="A9" i="15"/>
  <c r="B13" i="15"/>
  <c r="B28" i="15"/>
  <c r="B43" i="15"/>
  <c r="B58" i="15"/>
  <c r="B73" i="15"/>
  <c r="C13" i="15"/>
  <c r="C28" i="15"/>
  <c r="C43" i="15"/>
  <c r="C58" i="15"/>
  <c r="C73" i="15"/>
  <c r="D13" i="15"/>
  <c r="D28" i="15"/>
  <c r="D43" i="15"/>
  <c r="D58" i="15"/>
  <c r="D73" i="15"/>
  <c r="E13" i="15"/>
  <c r="E28" i="15"/>
  <c r="E43" i="15"/>
  <c r="E58" i="15"/>
  <c r="E73" i="15"/>
  <c r="F13" i="15"/>
  <c r="F28" i="15"/>
  <c r="F43" i="15"/>
  <c r="F58" i="15"/>
  <c r="F73" i="15"/>
  <c r="G13" i="15"/>
  <c r="G28" i="15"/>
  <c r="G43" i="15"/>
  <c r="G58" i="15"/>
  <c r="G73" i="15"/>
  <c r="H13" i="15"/>
  <c r="H28" i="15"/>
  <c r="H43" i="15"/>
  <c r="H58" i="15"/>
  <c r="H73" i="15"/>
  <c r="I13" i="15"/>
  <c r="I28" i="15"/>
  <c r="I43" i="15"/>
  <c r="I58" i="15"/>
  <c r="I73" i="15"/>
  <c r="J13" i="15"/>
  <c r="J28" i="15"/>
  <c r="J43" i="15"/>
  <c r="J58" i="15"/>
  <c r="J73" i="15"/>
  <c r="K13" i="15"/>
  <c r="K28" i="15"/>
  <c r="K43" i="15"/>
  <c r="K58" i="15"/>
  <c r="K73" i="15"/>
  <c r="L13" i="15"/>
  <c r="L28" i="15"/>
  <c r="M13" i="15"/>
  <c r="N13" i="15"/>
  <c r="N28" i="15"/>
  <c r="N43" i="15"/>
  <c r="N58" i="15"/>
  <c r="N73" i="15"/>
  <c r="A26" i="15"/>
  <c r="A41" i="15"/>
  <c r="A56" i="15"/>
  <c r="A71" i="15"/>
  <c r="A86" i="15"/>
  <c r="M28" i="15"/>
  <c r="M43" i="15"/>
  <c r="M58" i="15"/>
  <c r="M73" i="15"/>
  <c r="L43" i="15"/>
  <c r="L58" i="15"/>
  <c r="L73" i="15"/>
  <c r="A1" i="29"/>
  <c r="A2" i="29"/>
  <c r="B5" i="29"/>
  <c r="C5" i="12"/>
  <c r="A92" i="29"/>
  <c r="A107" i="29"/>
  <c r="A93" i="29"/>
  <c r="A108" i="29"/>
  <c r="A94" i="29"/>
  <c r="A109" i="29"/>
  <c r="A95" i="29"/>
  <c r="A110" i="29"/>
  <c r="A125" i="29"/>
  <c r="A96" i="29"/>
  <c r="A111" i="29"/>
  <c r="A126" i="29"/>
  <c r="C102" i="29"/>
  <c r="D102" i="29"/>
  <c r="E102" i="29"/>
  <c r="F102" i="29"/>
  <c r="C103" i="29"/>
  <c r="D103" i="29"/>
  <c r="E103" i="29"/>
  <c r="F103" i="29"/>
  <c r="A1" i="40"/>
  <c r="A2" i="40"/>
  <c r="B5" i="40"/>
  <c r="E5" i="47"/>
  <c r="C9" i="40"/>
  <c r="D9" i="40"/>
  <c r="E9" i="40"/>
  <c r="F9" i="40"/>
  <c r="C10" i="40"/>
  <c r="D10" i="40"/>
  <c r="E10" i="40"/>
  <c r="F10" i="40"/>
  <c r="C11" i="40"/>
  <c r="D11" i="40"/>
  <c r="E11" i="40"/>
  <c r="F11" i="40"/>
  <c r="C12" i="40"/>
  <c r="D12" i="40"/>
  <c r="E12" i="40"/>
  <c r="F12" i="40"/>
  <c r="C13" i="40"/>
  <c r="D13" i="40"/>
  <c r="E13" i="40"/>
  <c r="F13" i="40"/>
  <c r="C14" i="40"/>
  <c r="D14" i="40"/>
  <c r="E14" i="40"/>
  <c r="F14" i="40"/>
  <c r="A57" i="40"/>
  <c r="A60" i="40"/>
  <c r="A1" i="14"/>
  <c r="D131" i="46"/>
  <c r="Y67" i="12"/>
  <c r="Y51" i="12"/>
  <c r="T51" i="12"/>
  <c r="I51" i="12"/>
  <c r="J51" i="12"/>
  <c r="K51" i="12"/>
  <c r="L51" i="12"/>
  <c r="M51" i="12"/>
  <c r="X51" i="12"/>
  <c r="Z55" i="12"/>
  <c r="T52" i="12"/>
  <c r="I41" i="12"/>
  <c r="X41" i="12"/>
  <c r="F40" i="46"/>
  <c r="F39" i="46"/>
  <c r="T41" i="12"/>
  <c r="Y41" i="12"/>
  <c r="G40" i="46"/>
  <c r="G39" i="46"/>
  <c r="Z41" i="12"/>
  <c r="H40" i="46"/>
  <c r="H39" i="46"/>
  <c r="X62" i="12"/>
  <c r="X61" i="12"/>
  <c r="Y49" i="12"/>
  <c r="T49" i="12"/>
  <c r="X48" i="12"/>
  <c r="X47" i="12"/>
  <c r="X46" i="12"/>
  <c r="J112" i="11"/>
  <c r="B40" i="24"/>
  <c r="B39" i="24"/>
  <c r="C46" i="24"/>
  <c r="E46" i="24"/>
  <c r="F46" i="24"/>
  <c r="B29" i="24"/>
  <c r="B28" i="24"/>
  <c r="B31" i="24"/>
  <c r="D38" i="24"/>
  <c r="E38" i="24"/>
  <c r="B30" i="24"/>
  <c r="F38" i="24"/>
  <c r="Z42" i="12"/>
  <c r="W42" i="12"/>
  <c r="X42" i="12"/>
  <c r="I42" i="12"/>
  <c r="V42" i="12"/>
  <c r="T42" i="12"/>
  <c r="Y70" i="12"/>
  <c r="I8" i="12"/>
  <c r="J8" i="12"/>
  <c r="K8" i="12"/>
  <c r="L8" i="12"/>
  <c r="X8" i="12"/>
  <c r="I44" i="12"/>
  <c r="V44" i="12"/>
  <c r="X44" i="12"/>
  <c r="Z44" i="12"/>
  <c r="W50" i="12"/>
  <c r="Y44" i="12"/>
  <c r="I66" i="12"/>
  <c r="J66" i="12"/>
  <c r="K66" i="12"/>
  <c r="L66" i="12"/>
  <c r="M66" i="12"/>
  <c r="I54" i="12"/>
  <c r="J54" i="12"/>
  <c r="K54" i="12"/>
  <c r="L54" i="12"/>
  <c r="M54" i="12"/>
  <c r="X74" i="12"/>
  <c r="D67" i="46"/>
  <c r="D60" i="46"/>
  <c r="G67" i="46"/>
  <c r="G60" i="46"/>
  <c r="E67" i="46"/>
  <c r="E60" i="46"/>
  <c r="H67" i="46"/>
  <c r="H60" i="46"/>
  <c r="F67" i="46"/>
  <c r="F60" i="46"/>
  <c r="Y50" i="12"/>
  <c r="Z50" i="12"/>
  <c r="T50" i="12"/>
  <c r="X50" i="12"/>
  <c r="W51" i="12"/>
  <c r="Z51" i="12"/>
  <c r="T43" i="12"/>
  <c r="Z43" i="12"/>
  <c r="D208" i="46"/>
  <c r="W12" i="12"/>
  <c r="Y40" i="12"/>
  <c r="Z64" i="12"/>
  <c r="Z8" i="12"/>
  <c r="I12" i="12"/>
  <c r="J12" i="12"/>
  <c r="K12" i="12"/>
  <c r="L12" i="12"/>
  <c r="M12" i="12"/>
  <c r="Y8" i="12"/>
  <c r="W8" i="12"/>
  <c r="Z67" i="12"/>
  <c r="X64" i="12"/>
  <c r="T55" i="12"/>
  <c r="X12" i="12"/>
  <c r="Y12" i="12"/>
  <c r="W58" i="12"/>
  <c r="W74" i="12"/>
  <c r="Y68" i="12"/>
  <c r="W11" i="12"/>
  <c r="Z16" i="12"/>
  <c r="C19" i="46"/>
  <c r="C17" i="46"/>
  <c r="C12" i="46"/>
  <c r="C11" i="46"/>
  <c r="K101" i="11"/>
  <c r="Y76" i="12"/>
  <c r="Y16" i="12"/>
  <c r="Z40" i="12"/>
  <c r="X40" i="12"/>
  <c r="W54" i="12"/>
  <c r="Y65" i="12"/>
  <c r="Y52" i="12"/>
  <c r="Y15" i="12"/>
  <c r="X16" i="12"/>
  <c r="X65" i="12"/>
  <c r="F47" i="46"/>
  <c r="T54" i="12"/>
  <c r="T65" i="12"/>
  <c r="T16" i="12"/>
  <c r="T57" i="12"/>
  <c r="Z65" i="12"/>
  <c r="W16" i="12"/>
  <c r="W40" i="12"/>
  <c r="X54" i="12"/>
  <c r="Y58" i="12"/>
  <c r="W73" i="12"/>
  <c r="Z53" i="12"/>
  <c r="X70" i="12"/>
  <c r="T58" i="12"/>
  <c r="W67" i="12"/>
  <c r="I70" i="12"/>
  <c r="V70" i="12"/>
  <c r="I58" i="12"/>
  <c r="J58" i="12"/>
  <c r="K58" i="12"/>
  <c r="L58" i="12"/>
  <c r="M58" i="12"/>
  <c r="I10" i="12"/>
  <c r="J10" i="12"/>
  <c r="K10" i="12"/>
  <c r="L10" i="12"/>
  <c r="M10" i="12"/>
  <c r="T73" i="12"/>
  <c r="Z58" i="12"/>
  <c r="Z52" i="12"/>
  <c r="W55" i="12"/>
  <c r="Y66" i="12"/>
  <c r="W53" i="12"/>
  <c r="I56" i="12"/>
  <c r="J56" i="12"/>
  <c r="K56" i="12"/>
  <c r="L56" i="12"/>
  <c r="M56" i="12"/>
  <c r="I67" i="12"/>
  <c r="J67" i="12"/>
  <c r="K67" i="12"/>
  <c r="L67" i="12"/>
  <c r="M67" i="12"/>
  <c r="I73" i="12"/>
  <c r="J73" i="12"/>
  <c r="K73" i="12"/>
  <c r="L73" i="12"/>
  <c r="M73" i="12"/>
  <c r="W52" i="12"/>
  <c r="X55" i="12"/>
  <c r="T53" i="12"/>
  <c r="I53" i="12"/>
  <c r="J53" i="12"/>
  <c r="K53" i="12"/>
  <c r="L53" i="12"/>
  <c r="M53" i="12"/>
  <c r="Y53" i="12"/>
  <c r="T56" i="12"/>
  <c r="Z74" i="12"/>
  <c r="W66" i="12"/>
  <c r="X56" i="12"/>
  <c r="Z56" i="12"/>
  <c r="Z66" i="12"/>
  <c r="T74" i="12"/>
  <c r="X66" i="12"/>
  <c r="Y74" i="12"/>
  <c r="T10" i="12"/>
  <c r="W14" i="12"/>
  <c r="Y14" i="12"/>
  <c r="X14" i="12"/>
  <c r="I14" i="12"/>
  <c r="V14" i="12"/>
  <c r="T76" i="12"/>
  <c r="Z76" i="12"/>
  <c r="I69" i="12"/>
  <c r="J69" i="12"/>
  <c r="K69" i="12"/>
  <c r="L69" i="12"/>
  <c r="M69" i="12"/>
  <c r="T69" i="12"/>
  <c r="W69" i="12"/>
  <c r="Z69" i="12"/>
  <c r="X69" i="12"/>
  <c r="Y11" i="12"/>
  <c r="Z70" i="12"/>
  <c r="T70" i="12"/>
  <c r="Y54" i="12"/>
  <c r="W65" i="12"/>
  <c r="Y73" i="12"/>
  <c r="D39" i="16"/>
  <c r="E39" i="16"/>
  <c r="F39" i="16"/>
  <c r="G39" i="16"/>
  <c r="J104" i="11"/>
  <c r="N104" i="11"/>
  <c r="O104" i="11"/>
  <c r="R104" i="11"/>
  <c r="V104" i="11"/>
  <c r="W104" i="11"/>
  <c r="Z104" i="11"/>
  <c r="F43" i="46"/>
  <c r="D19" i="46"/>
  <c r="D17" i="46"/>
  <c r="F37" i="12"/>
  <c r="G99" i="11"/>
  <c r="H15" i="46"/>
  <c r="H13" i="46"/>
  <c r="F15" i="46"/>
  <c r="F13" i="46"/>
  <c r="D15" i="46"/>
  <c r="D13" i="46"/>
  <c r="E15" i="46"/>
  <c r="E13" i="46"/>
  <c r="G15" i="46"/>
  <c r="G13" i="46"/>
  <c r="A95" i="24"/>
  <c r="A108" i="24"/>
  <c r="D108" i="24"/>
  <c r="J42" i="12"/>
  <c r="K42" i="12"/>
  <c r="L42" i="12"/>
  <c r="M42" i="12"/>
  <c r="J45" i="12"/>
  <c r="K45" i="12"/>
  <c r="L45" i="12"/>
  <c r="M45" i="12"/>
  <c r="V43" i="12"/>
  <c r="J75" i="12"/>
  <c r="K75" i="12"/>
  <c r="L75" i="12"/>
  <c r="M75" i="12"/>
  <c r="J74" i="12"/>
  <c r="K74" i="12"/>
  <c r="L74" i="12"/>
  <c r="M74" i="12"/>
  <c r="J47" i="12"/>
  <c r="K47" i="12"/>
  <c r="L47" i="12"/>
  <c r="M47" i="12"/>
  <c r="V67" i="12"/>
  <c r="G101" i="11"/>
  <c r="G107" i="11"/>
  <c r="G122" i="11"/>
  <c r="AC33" i="11"/>
  <c r="AC34" i="11"/>
  <c r="AC35" i="11"/>
  <c r="AC36" i="11"/>
  <c r="AC114" i="11"/>
  <c r="AC115" i="11"/>
  <c r="AC116" i="11"/>
  <c r="AC117" i="11"/>
  <c r="AC118" i="11"/>
  <c r="B133" i="29"/>
  <c r="S95" i="11"/>
  <c r="S109" i="11"/>
  <c r="W95" i="11"/>
  <c r="W109" i="11"/>
  <c r="K95" i="11"/>
  <c r="K109" i="11"/>
  <c r="AC95" i="11"/>
  <c r="AC109" i="11"/>
  <c r="O95" i="11"/>
  <c r="O109" i="11"/>
  <c r="O83" i="11"/>
  <c r="S83" i="11"/>
  <c r="S54" i="11"/>
  <c r="W54" i="11"/>
  <c r="K54" i="11"/>
  <c r="O54" i="11"/>
  <c r="E31" i="18"/>
  <c r="B132" i="29"/>
  <c r="K5" i="47"/>
  <c r="L5" i="47"/>
  <c r="E13" i="51"/>
  <c r="F13" i="51"/>
  <c r="C13" i="51"/>
  <c r="D13" i="51"/>
  <c r="B13" i="51"/>
  <c r="G31" i="18"/>
  <c r="F31" i="18"/>
  <c r="D80" i="24"/>
  <c r="J105" i="11"/>
  <c r="B29" i="51"/>
  <c r="Z105" i="11"/>
  <c r="F29" i="51"/>
  <c r="V73" i="12"/>
  <c r="J55" i="12"/>
  <c r="K55" i="12"/>
  <c r="L55" i="12"/>
  <c r="M55" i="12"/>
  <c r="V54" i="12"/>
  <c r="M8" i="12"/>
  <c r="V8" i="12"/>
  <c r="Z10" i="12"/>
  <c r="X72" i="12"/>
  <c r="Y64" i="12"/>
  <c r="O13" i="12"/>
  <c r="V53" i="12"/>
  <c r="V66" i="12"/>
  <c r="T64" i="12"/>
  <c r="V49" i="12"/>
  <c r="X10" i="12"/>
  <c r="D30" i="46"/>
  <c r="D29" i="46"/>
  <c r="W10" i="12"/>
  <c r="Y57" i="12"/>
  <c r="V46" i="12"/>
  <c r="W64" i="12"/>
  <c r="J44" i="12"/>
  <c r="K44" i="12"/>
  <c r="L44" i="12"/>
  <c r="M44" i="12"/>
  <c r="I52" i="12"/>
  <c r="V52" i="12"/>
  <c r="A17" i="15"/>
  <c r="A11" i="22"/>
  <c r="E19" i="46"/>
  <c r="E17" i="46"/>
  <c r="Z48" i="11"/>
  <c r="F14" i="51"/>
  <c r="N61" i="11"/>
  <c r="C17" i="51"/>
  <c r="E30" i="18"/>
  <c r="R105" i="11"/>
  <c r="D29" i="51"/>
  <c r="J61" i="11"/>
  <c r="B17" i="51"/>
  <c r="R61" i="11"/>
  <c r="D17" i="51"/>
  <c r="J48" i="11"/>
  <c r="B14" i="51"/>
  <c r="Z61" i="11"/>
  <c r="F17" i="51"/>
  <c r="R48" i="11"/>
  <c r="D14" i="51"/>
  <c r="J52" i="11"/>
  <c r="N48" i="11"/>
  <c r="C14" i="51"/>
  <c r="V65" i="11"/>
  <c r="E18" i="51"/>
  <c r="A45" i="11"/>
  <c r="A46" i="11"/>
  <c r="A47" i="11"/>
  <c r="A31" i="11"/>
  <c r="A32" i="11"/>
  <c r="A33" i="11"/>
  <c r="A34" i="11"/>
  <c r="A35" i="11"/>
  <c r="AB56" i="11"/>
  <c r="AB85" i="11"/>
  <c r="A74" i="11"/>
  <c r="A59" i="11"/>
  <c r="A60" i="11"/>
  <c r="A21" i="11"/>
  <c r="A22" i="11"/>
  <c r="A23" i="11"/>
  <c r="D284" i="24"/>
  <c r="J48" i="12"/>
  <c r="K48" i="12"/>
  <c r="L48" i="12"/>
  <c r="M48" i="12"/>
  <c r="J70" i="12"/>
  <c r="K70" i="12"/>
  <c r="L70" i="12"/>
  <c r="M70" i="12"/>
  <c r="Z68" i="12"/>
  <c r="X67" i="12"/>
  <c r="T68" i="12"/>
  <c r="W68" i="12"/>
  <c r="V69" i="12"/>
  <c r="I68" i="12"/>
  <c r="V68" i="12"/>
  <c r="I57" i="12"/>
  <c r="O52" i="12"/>
  <c r="V56" i="12"/>
  <c r="W56" i="12"/>
  <c r="Z57" i="12"/>
  <c r="W57" i="12"/>
  <c r="I72" i="12"/>
  <c r="O71" i="12"/>
  <c r="Y72" i="12"/>
  <c r="J71" i="12"/>
  <c r="K71" i="12"/>
  <c r="L71" i="12"/>
  <c r="M71" i="12"/>
  <c r="Z72" i="12"/>
  <c r="T72" i="12"/>
  <c r="J64" i="12"/>
  <c r="K64" i="12"/>
  <c r="L64" i="12"/>
  <c r="M64" i="12"/>
  <c r="C77" i="12"/>
  <c r="D52" i="46"/>
  <c r="T63" i="12"/>
  <c r="Z63" i="12"/>
  <c r="I63" i="12"/>
  <c r="J63" i="12"/>
  <c r="K63" i="12"/>
  <c r="L63" i="12"/>
  <c r="M63" i="12"/>
  <c r="W63" i="12"/>
  <c r="X63" i="12"/>
  <c r="J61" i="12"/>
  <c r="K61" i="12"/>
  <c r="L61" i="12"/>
  <c r="M61" i="12"/>
  <c r="J73" i="22"/>
  <c r="F73" i="22"/>
  <c r="D73" i="22"/>
  <c r="I40" i="12"/>
  <c r="B73" i="22"/>
  <c r="H73" i="22"/>
  <c r="AB96" i="12"/>
  <c r="F96" i="12"/>
  <c r="K108" i="12"/>
  <c r="V15" i="12"/>
  <c r="W9" i="12"/>
  <c r="J14" i="12"/>
  <c r="K14" i="12"/>
  <c r="L14" i="12"/>
  <c r="M14" i="12"/>
  <c r="Z9" i="12"/>
  <c r="X11" i="12"/>
  <c r="T14" i="12"/>
  <c r="V10" i="12"/>
  <c r="I9" i="12"/>
  <c r="I11" i="12"/>
  <c r="J11" i="12"/>
  <c r="K11" i="12"/>
  <c r="L11" i="12"/>
  <c r="M11" i="12"/>
  <c r="X9" i="12"/>
  <c r="J13" i="12"/>
  <c r="K13" i="12"/>
  <c r="L13" i="12"/>
  <c r="M13" i="12"/>
  <c r="X15" i="12"/>
  <c r="H72" i="22"/>
  <c r="C37" i="12"/>
  <c r="Z15" i="12"/>
  <c r="V16" i="12"/>
  <c r="T11" i="12"/>
  <c r="T9" i="12"/>
  <c r="T15" i="12"/>
  <c r="W15" i="12"/>
  <c r="F72" i="22"/>
  <c r="D72" i="22"/>
  <c r="D142" i="24"/>
  <c r="E9" i="24"/>
  <c r="C13" i="18"/>
  <c r="C11" i="18"/>
  <c r="L37" i="22"/>
  <c r="A133" i="29"/>
  <c r="A25" i="15"/>
  <c r="A19" i="22"/>
  <c r="A129" i="29"/>
  <c r="A21" i="15"/>
  <c r="A36" i="15"/>
  <c r="A51" i="15"/>
  <c r="A66" i="15"/>
  <c r="A81" i="15"/>
  <c r="A23" i="15"/>
  <c r="A18" i="15"/>
  <c r="A12" i="22"/>
  <c r="F118" i="29"/>
  <c r="F133" i="29"/>
  <c r="E118" i="29"/>
  <c r="D118" i="29"/>
  <c r="D133" i="29"/>
  <c r="A132" i="29"/>
  <c r="A19" i="15"/>
  <c r="A16" i="22"/>
  <c r="A37" i="15"/>
  <c r="A52" i="15"/>
  <c r="A67" i="15"/>
  <c r="A82" i="15"/>
  <c r="A130" i="29"/>
  <c r="A128" i="29"/>
  <c r="A20" i="15"/>
  <c r="A16" i="15"/>
  <c r="C13" i="11"/>
  <c r="A124" i="29"/>
  <c r="A15" i="15"/>
  <c r="C12" i="11"/>
  <c r="A123" i="29"/>
  <c r="E96" i="12"/>
  <c r="I104" i="12"/>
  <c r="B149" i="24"/>
  <c r="D152" i="24"/>
  <c r="E152" i="24"/>
  <c r="D96" i="12"/>
  <c r="F100" i="12"/>
  <c r="G47" i="46"/>
  <c r="J65" i="12"/>
  <c r="K65" i="12"/>
  <c r="L65" i="12"/>
  <c r="M65" i="12"/>
  <c r="E43" i="46"/>
  <c r="G43" i="46"/>
  <c r="H43" i="46"/>
  <c r="K23" i="47"/>
  <c r="I87" i="11"/>
  <c r="J87" i="11"/>
  <c r="W91" i="11"/>
  <c r="W93" i="11"/>
  <c r="O46" i="12"/>
  <c r="A14" i="15"/>
  <c r="C11" i="11"/>
  <c r="A122" i="29"/>
  <c r="B31" i="29"/>
  <c r="B59" i="29"/>
  <c r="B114" i="29"/>
  <c r="B93" i="29"/>
  <c r="B94" i="29"/>
  <c r="P88" i="11"/>
  <c r="P89" i="11"/>
  <c r="P90" i="11"/>
  <c r="P91" i="11"/>
  <c r="P93" i="11"/>
  <c r="C29" i="16"/>
  <c r="C27" i="16"/>
  <c r="C35" i="16"/>
  <c r="D13" i="18"/>
  <c r="D11" i="18"/>
  <c r="B106" i="29"/>
  <c r="B121" i="29"/>
  <c r="B136" i="29"/>
  <c r="B140" i="29"/>
  <c r="D5" i="18"/>
  <c r="E5" i="46"/>
  <c r="B91" i="29"/>
  <c r="E5" i="18"/>
  <c r="C5" i="29"/>
  <c r="D5" i="46"/>
  <c r="C5" i="46"/>
  <c r="A13" i="15"/>
  <c r="B7" i="22"/>
  <c r="B5" i="22"/>
  <c r="B41" i="16"/>
  <c r="E13" i="18"/>
  <c r="E11" i="18"/>
  <c r="E41" i="16"/>
  <c r="G13" i="18"/>
  <c r="G11" i="18"/>
  <c r="C75" i="18"/>
  <c r="C72" i="18"/>
  <c r="B28" i="16"/>
  <c r="B61" i="16"/>
  <c r="A86" i="24"/>
  <c r="A148" i="24"/>
  <c r="A77" i="24"/>
  <c r="A106" i="24"/>
  <c r="D106" i="24"/>
  <c r="A157" i="24"/>
  <c r="N52" i="11"/>
  <c r="A68" i="24"/>
  <c r="A130" i="24"/>
  <c r="A167" i="24"/>
  <c r="D167" i="24"/>
  <c r="J59" i="12"/>
  <c r="K59" i="12"/>
  <c r="L59" i="12"/>
  <c r="M59" i="12"/>
  <c r="G23" i="18"/>
  <c r="F30" i="18"/>
  <c r="C30" i="18"/>
  <c r="X88" i="11"/>
  <c r="X89" i="11"/>
  <c r="X90" i="11"/>
  <c r="X91" i="11"/>
  <c r="X93" i="11"/>
  <c r="A87" i="11"/>
  <c r="N65" i="11"/>
  <c r="C18" i="51"/>
  <c r="A88" i="11"/>
  <c r="S91" i="11"/>
  <c r="S93" i="11"/>
  <c r="W105" i="11"/>
  <c r="W107" i="11"/>
  <c r="O105" i="11"/>
  <c r="O107" i="11"/>
  <c r="D23" i="18"/>
  <c r="V61" i="11"/>
  <c r="E17" i="51"/>
  <c r="G30" i="18"/>
  <c r="D66" i="18"/>
  <c r="D63" i="18"/>
  <c r="F23" i="18"/>
  <c r="D31" i="18"/>
  <c r="C31" i="18"/>
  <c r="K105" i="11"/>
  <c r="K107" i="11"/>
  <c r="H90" i="11"/>
  <c r="V48" i="11"/>
  <c r="E14" i="51"/>
  <c r="S24" i="11"/>
  <c r="S26" i="11"/>
  <c r="H91" i="11"/>
  <c r="H93" i="11"/>
  <c r="J65" i="11"/>
  <c r="B18" i="51"/>
  <c r="D22" i="18"/>
  <c r="F22" i="18"/>
  <c r="N105" i="11"/>
  <c r="V105" i="11"/>
  <c r="D30" i="18"/>
  <c r="E23" i="18"/>
  <c r="S104" i="11"/>
  <c r="S105" i="11"/>
  <c r="S107" i="11"/>
  <c r="T88" i="11"/>
  <c r="T89" i="11"/>
  <c r="T90" i="11"/>
  <c r="T91" i="11"/>
  <c r="T93" i="11"/>
  <c r="E66" i="18"/>
  <c r="E63" i="18"/>
  <c r="O24" i="11"/>
  <c r="O26" i="11"/>
  <c r="W24" i="11"/>
  <c r="W26" i="11"/>
  <c r="N34" i="11"/>
  <c r="F66" i="18"/>
  <c r="F63" i="18"/>
  <c r="D9" i="24"/>
  <c r="D18" i="24"/>
  <c r="AC61" i="11"/>
  <c r="D222" i="24"/>
  <c r="F98" i="24"/>
  <c r="D151" i="24"/>
  <c r="D98" i="24"/>
  <c r="E151" i="24"/>
  <c r="F204" i="24"/>
  <c r="D89" i="24"/>
  <c r="D195" i="24"/>
  <c r="D266" i="24"/>
  <c r="F195" i="24"/>
  <c r="E160" i="24"/>
  <c r="E204" i="24"/>
  <c r="AC48" i="11"/>
  <c r="E266" i="24"/>
  <c r="E257" i="24"/>
  <c r="F257" i="24"/>
  <c r="D7" i="40"/>
  <c r="O29" i="15"/>
  <c r="O30" i="15"/>
  <c r="O31" i="15"/>
  <c r="O32" i="15"/>
  <c r="O33" i="15"/>
  <c r="O34" i="15"/>
  <c r="O35" i="15"/>
  <c r="O36" i="15"/>
  <c r="O37" i="15"/>
  <c r="O38" i="15"/>
  <c r="O39" i="15"/>
  <c r="O40" i="15"/>
  <c r="C5" i="40"/>
  <c r="F133" i="24"/>
  <c r="D133" i="24"/>
  <c r="E133" i="24"/>
  <c r="D71" i="24"/>
  <c r="F71" i="24"/>
  <c r="D275" i="24"/>
  <c r="E275" i="24"/>
  <c r="F275" i="24"/>
  <c r="D213" i="24"/>
  <c r="E213" i="24"/>
  <c r="F213" i="24"/>
  <c r="D257" i="24"/>
  <c r="E222" i="24"/>
  <c r="D160" i="24"/>
  <c r="B92" i="29"/>
  <c r="C95" i="29"/>
  <c r="F100" i="29"/>
  <c r="B95" i="29"/>
  <c r="C100" i="29"/>
  <c r="B115" i="29"/>
  <c r="K87" i="11"/>
  <c r="K88" i="11"/>
  <c r="K89" i="11"/>
  <c r="F72" i="18"/>
  <c r="F28" i="16"/>
  <c r="F61" i="16"/>
  <c r="B100" i="29"/>
  <c r="C63" i="18"/>
  <c r="C35" i="18"/>
  <c r="G59" i="18"/>
  <c r="E35" i="18"/>
  <c r="D68" i="18"/>
  <c r="D27" i="16"/>
  <c r="C59" i="18"/>
  <c r="C47" i="18"/>
  <c r="E72" i="18"/>
  <c r="E28" i="16"/>
  <c r="E61" i="16"/>
  <c r="G68" i="18"/>
  <c r="G27" i="16"/>
  <c r="G45" i="16"/>
  <c r="C10" i="16"/>
  <c r="G72" i="18"/>
  <c r="G28" i="16"/>
  <c r="G61" i="16"/>
  <c r="G47" i="18"/>
  <c r="G40" i="18"/>
  <c r="G35" i="18"/>
  <c r="F68" i="18"/>
  <c r="F27" i="16"/>
  <c r="F59" i="18"/>
  <c r="F47" i="18"/>
  <c r="F40" i="18"/>
  <c r="E68" i="18"/>
  <c r="E27" i="16"/>
  <c r="E40" i="18"/>
  <c r="D72" i="18"/>
  <c r="D28" i="16"/>
  <c r="D61" i="16"/>
  <c r="D59" i="18"/>
  <c r="D47" i="18"/>
  <c r="D40" i="18"/>
  <c r="D35" i="18"/>
  <c r="C68" i="18"/>
  <c r="C40" i="18"/>
  <c r="B111" i="29"/>
  <c r="D98" i="29"/>
  <c r="C94" i="29"/>
  <c r="C97" i="29"/>
  <c r="C98" i="29"/>
  <c r="F35" i="18"/>
  <c r="E59" i="18"/>
  <c r="B101" i="29"/>
  <c r="B52" i="29"/>
  <c r="C51" i="29"/>
  <c r="D51" i="29"/>
  <c r="F98" i="29"/>
  <c r="E98" i="29"/>
  <c r="B99" i="29"/>
  <c r="E47" i="18"/>
  <c r="O25" i="15"/>
  <c r="O26" i="15"/>
  <c r="G37" i="12"/>
  <c r="AC42" i="11"/>
  <c r="H47" i="46"/>
  <c r="A39" i="15"/>
  <c r="A54" i="15"/>
  <c r="A69" i="15"/>
  <c r="A84" i="15"/>
  <c r="A18" i="22"/>
  <c r="E45" i="24"/>
  <c r="D29" i="24"/>
  <c r="J41" i="12"/>
  <c r="V41" i="12"/>
  <c r="D40" i="46"/>
  <c r="D39" i="46"/>
  <c r="V9" i="12"/>
  <c r="I76" i="12"/>
  <c r="W76" i="12"/>
  <c r="V58" i="12"/>
  <c r="C45" i="24"/>
  <c r="T94" i="12"/>
  <c r="V12" i="12"/>
  <c r="V51" i="12"/>
  <c r="V62" i="12"/>
  <c r="C98" i="12"/>
  <c r="I5" i="12"/>
  <c r="V5" i="12"/>
  <c r="D5" i="12"/>
  <c r="O7" i="12"/>
  <c r="O39" i="12"/>
  <c r="O79" i="12"/>
  <c r="C23" i="18"/>
  <c r="C133" i="29"/>
  <c r="F117" i="29"/>
  <c r="Y37" i="12"/>
  <c r="E132" i="29"/>
  <c r="G66" i="18"/>
  <c r="G63" i="18"/>
  <c r="E284" i="24"/>
  <c r="E89" i="24"/>
  <c r="E133" i="29"/>
  <c r="E142" i="24"/>
  <c r="E80" i="24"/>
  <c r="C132" i="29"/>
  <c r="F28" i="24"/>
  <c r="E28" i="24"/>
  <c r="D132" i="29"/>
  <c r="K24" i="11"/>
  <c r="K26" i="11"/>
  <c r="F18" i="24"/>
  <c r="E37" i="24"/>
  <c r="F37" i="24"/>
  <c r="Y77" i="12"/>
  <c r="G53" i="46"/>
  <c r="A107" i="24"/>
  <c r="D107" i="24"/>
  <c r="E44" i="22"/>
  <c r="F44" i="22"/>
  <c r="G44" i="22"/>
  <c r="H44" i="22"/>
  <c r="B44" i="22"/>
  <c r="C44" i="22"/>
  <c r="D44" i="22"/>
  <c r="AC63" i="11"/>
  <c r="I44" i="22"/>
  <c r="J44" i="22"/>
  <c r="K44" i="22"/>
  <c r="D75" i="22"/>
  <c r="E49" i="22"/>
  <c r="AB95" i="11"/>
  <c r="AB109" i="11"/>
  <c r="B104" i="29"/>
  <c r="C15" i="51"/>
  <c r="B15" i="51"/>
  <c r="E22" i="16"/>
  <c r="E58" i="16"/>
  <c r="B113" i="29"/>
  <c r="B128" i="29"/>
  <c r="G22" i="16"/>
  <c r="G58" i="16"/>
  <c r="F22" i="16"/>
  <c r="F58" i="16"/>
  <c r="K51" i="22"/>
  <c r="B51" i="22"/>
  <c r="B60" i="22"/>
  <c r="A9" i="22"/>
  <c r="H7" i="11"/>
  <c r="H9" i="11"/>
  <c r="G51" i="22"/>
  <c r="H51" i="22"/>
  <c r="H60" i="22"/>
  <c r="E51" i="22"/>
  <c r="F51" i="22"/>
  <c r="F60" i="22"/>
  <c r="C29" i="51"/>
  <c r="I51" i="22"/>
  <c r="J51" i="22"/>
  <c r="J60" i="22"/>
  <c r="E29" i="51"/>
  <c r="G55" i="16"/>
  <c r="V72" i="12"/>
  <c r="X77" i="12"/>
  <c r="F53" i="46"/>
  <c r="J68" i="12"/>
  <c r="K68" i="12"/>
  <c r="L68" i="12"/>
  <c r="M68" i="12"/>
  <c r="O65" i="12"/>
  <c r="O59" i="12"/>
  <c r="J52" i="12"/>
  <c r="K52" i="12"/>
  <c r="L52" i="12"/>
  <c r="M52" i="12"/>
  <c r="I77" i="12"/>
  <c r="J100" i="11"/>
  <c r="C26" i="18"/>
  <c r="Z37" i="12"/>
  <c r="A33" i="15"/>
  <c r="A48" i="15"/>
  <c r="A63" i="15"/>
  <c r="A78" i="15"/>
  <c r="A15" i="22"/>
  <c r="A40" i="15"/>
  <c r="A55" i="15"/>
  <c r="A70" i="15"/>
  <c r="A85" i="15"/>
  <c r="X37" i="12"/>
  <c r="J72" i="12"/>
  <c r="K72" i="12"/>
  <c r="L72" i="12"/>
  <c r="M72" i="12"/>
  <c r="K102" i="12"/>
  <c r="B193" i="24"/>
  <c r="A139" i="24"/>
  <c r="K106" i="12"/>
  <c r="H32" i="22"/>
  <c r="T77" i="12"/>
  <c r="K105" i="12"/>
  <c r="B220" i="24"/>
  <c r="D223" i="24"/>
  <c r="A32" i="15"/>
  <c r="A47" i="15"/>
  <c r="A62" i="15"/>
  <c r="A77" i="15"/>
  <c r="C14" i="11"/>
  <c r="A30" i="15"/>
  <c r="A45" i="15"/>
  <c r="A60" i="15"/>
  <c r="A75" i="15"/>
  <c r="F75" i="22"/>
  <c r="R52" i="11"/>
  <c r="F55" i="16"/>
  <c r="B55" i="16"/>
  <c r="B110" i="29"/>
  <c r="J32" i="11"/>
  <c r="V57" i="12"/>
  <c r="J57" i="12"/>
  <c r="K57" i="12"/>
  <c r="L57" i="12"/>
  <c r="M57" i="12"/>
  <c r="H75" i="22"/>
  <c r="Z77" i="12"/>
  <c r="H53" i="46"/>
  <c r="E52" i="46"/>
  <c r="F52" i="46"/>
  <c r="V63" i="12"/>
  <c r="V40" i="12"/>
  <c r="O40" i="12"/>
  <c r="J40" i="12"/>
  <c r="K40" i="12"/>
  <c r="L40" i="12"/>
  <c r="M40" i="12"/>
  <c r="F103" i="12"/>
  <c r="D29" i="22"/>
  <c r="K107" i="12"/>
  <c r="K100" i="12"/>
  <c r="H26" i="22"/>
  <c r="K103" i="12"/>
  <c r="B202" i="24"/>
  <c r="D205" i="24"/>
  <c r="F205" i="24"/>
  <c r="K101" i="12"/>
  <c r="H27" i="22"/>
  <c r="K109" i="12"/>
  <c r="K104" i="12"/>
  <c r="B211" i="24"/>
  <c r="D214" i="24"/>
  <c r="B215" i="24"/>
  <c r="B214" i="24"/>
  <c r="T37" i="12"/>
  <c r="J9" i="12"/>
  <c r="K9" i="12"/>
  <c r="L9" i="12"/>
  <c r="O8" i="12"/>
  <c r="C96" i="12"/>
  <c r="B72" i="22"/>
  <c r="B75" i="22"/>
  <c r="W37" i="12"/>
  <c r="V11" i="12"/>
  <c r="A192" i="24"/>
  <c r="A254" i="24"/>
  <c r="A291" i="24"/>
  <c r="D291" i="24"/>
  <c r="C76" i="16"/>
  <c r="A17" i="22"/>
  <c r="A38" i="15"/>
  <c r="A53" i="15"/>
  <c r="A68" i="15"/>
  <c r="A83" i="15"/>
  <c r="A34" i="15"/>
  <c r="A49" i="15"/>
  <c r="A64" i="15"/>
  <c r="A79" i="15"/>
  <c r="A13" i="22"/>
  <c r="A35" i="15"/>
  <c r="A50" i="15"/>
  <c r="A65" i="15"/>
  <c r="A80" i="15"/>
  <c r="A14" i="22"/>
  <c r="A31" i="15"/>
  <c r="A46" i="15"/>
  <c r="A61" i="15"/>
  <c r="A76" i="15"/>
  <c r="A10" i="22"/>
  <c r="I105" i="12"/>
  <c r="F31" i="22"/>
  <c r="I109" i="12"/>
  <c r="I100" i="12"/>
  <c r="I103" i="12"/>
  <c r="F29" i="22"/>
  <c r="I106" i="12"/>
  <c r="F32" i="22"/>
  <c r="I101" i="12"/>
  <c r="F27" i="22"/>
  <c r="I108" i="12"/>
  <c r="F102" i="12"/>
  <c r="B69" i="24"/>
  <c r="D72" i="24"/>
  <c r="F72" i="24"/>
  <c r="F101" i="12"/>
  <c r="D27" i="22"/>
  <c r="F105" i="12"/>
  <c r="D31" i="22"/>
  <c r="F106" i="12"/>
  <c r="D32" i="22"/>
  <c r="F108" i="12"/>
  <c r="Y96" i="12"/>
  <c r="I102" i="12"/>
  <c r="I107" i="12"/>
  <c r="F104" i="12"/>
  <c r="B87" i="24"/>
  <c r="D90" i="24"/>
  <c r="E90" i="24"/>
  <c r="F107" i="12"/>
  <c r="F109" i="12"/>
  <c r="F152" i="24"/>
  <c r="C25" i="16"/>
  <c r="C34" i="16"/>
  <c r="A29" i="15"/>
  <c r="A44" i="15"/>
  <c r="A59" i="15"/>
  <c r="A74" i="15"/>
  <c r="A8" i="22"/>
  <c r="C92" i="29"/>
  <c r="B24" i="29"/>
  <c r="B109" i="29"/>
  <c r="C58" i="29"/>
  <c r="D58" i="29"/>
  <c r="E58" i="29"/>
  <c r="F58" i="29"/>
  <c r="B129" i="29"/>
  <c r="I88" i="11"/>
  <c r="J88" i="11"/>
  <c r="C14" i="16"/>
  <c r="C17" i="16"/>
  <c r="C20" i="16"/>
  <c r="I89" i="11"/>
  <c r="J89" i="11"/>
  <c r="I90" i="11"/>
  <c r="B22" i="16"/>
  <c r="B58" i="16"/>
  <c r="D7" i="16"/>
  <c r="D7" i="22"/>
  <c r="D5" i="22"/>
  <c r="B130" i="29"/>
  <c r="D95" i="29"/>
  <c r="B25" i="22"/>
  <c r="B37" i="22"/>
  <c r="B58" i="22"/>
  <c r="C91" i="29"/>
  <c r="D5" i="29"/>
  <c r="C106" i="29"/>
  <c r="C121" i="29"/>
  <c r="C136" i="29"/>
  <c r="C140" i="29"/>
  <c r="A28" i="15"/>
  <c r="E7" i="16"/>
  <c r="F5" i="46"/>
  <c r="F7" i="22"/>
  <c r="F5" i="22"/>
  <c r="F5" i="18"/>
  <c r="A169" i="24"/>
  <c r="D169" i="24"/>
  <c r="A210" i="24"/>
  <c r="A219" i="24"/>
  <c r="A170" i="24"/>
  <c r="D170" i="24"/>
  <c r="A105" i="24"/>
  <c r="D105" i="24"/>
  <c r="AC81" i="11"/>
  <c r="D22" i="16"/>
  <c r="D58" i="16"/>
  <c r="A229" i="24"/>
  <c r="D229" i="24"/>
  <c r="G58" i="18"/>
  <c r="G29" i="16"/>
  <c r="G62" i="16"/>
  <c r="B50" i="16"/>
  <c r="D55" i="16"/>
  <c r="G42" i="22"/>
  <c r="H42" i="22"/>
  <c r="E55" i="16"/>
  <c r="B42" i="22"/>
  <c r="C42" i="22"/>
  <c r="D42" i="22"/>
  <c r="A90" i="11"/>
  <c r="A89" i="11"/>
  <c r="K42" i="22"/>
  <c r="I42" i="22"/>
  <c r="J42" i="22"/>
  <c r="B153" i="24"/>
  <c r="B152" i="24"/>
  <c r="B154" i="24"/>
  <c r="O41" i="15"/>
  <c r="AC52" i="11"/>
  <c r="E7" i="40"/>
  <c r="O44" i="15"/>
  <c r="O45" i="15"/>
  <c r="O46" i="15"/>
  <c r="O47" i="15"/>
  <c r="O48" i="15"/>
  <c r="O49" i="15"/>
  <c r="O50" i="15"/>
  <c r="O51" i="15"/>
  <c r="O52" i="15"/>
  <c r="O53" i="15"/>
  <c r="O54" i="15"/>
  <c r="O55" i="15"/>
  <c r="O56" i="15"/>
  <c r="D5" i="40"/>
  <c r="F5" i="47"/>
  <c r="M5" i="47"/>
  <c r="D97" i="29"/>
  <c r="C67" i="18"/>
  <c r="D58" i="18"/>
  <c r="D29" i="16"/>
  <c r="D62" i="16"/>
  <c r="E100" i="29"/>
  <c r="C39" i="18"/>
  <c r="B25" i="16"/>
  <c r="B44" i="16"/>
  <c r="F58" i="18"/>
  <c r="F29" i="16"/>
  <c r="F62" i="16"/>
  <c r="D39" i="18"/>
  <c r="D25" i="16"/>
  <c r="D44" i="16"/>
  <c r="G39" i="18"/>
  <c r="G25" i="16"/>
  <c r="G44" i="16"/>
  <c r="K91" i="11"/>
  <c r="K93" i="11"/>
  <c r="C93" i="29"/>
  <c r="C58" i="18"/>
  <c r="B29" i="16"/>
  <c r="B62" i="16"/>
  <c r="F67" i="18"/>
  <c r="G67" i="18"/>
  <c r="E67" i="18"/>
  <c r="B27" i="16"/>
  <c r="B35" i="16"/>
  <c r="D94" i="29"/>
  <c r="F39" i="18"/>
  <c r="F25" i="16"/>
  <c r="F44" i="16"/>
  <c r="E39" i="18"/>
  <c r="E25" i="16"/>
  <c r="E44" i="16"/>
  <c r="D67" i="18"/>
  <c r="E58" i="18"/>
  <c r="E29" i="16"/>
  <c r="E62" i="16"/>
  <c r="B126" i="29"/>
  <c r="B17" i="29"/>
  <c r="B108" i="29"/>
  <c r="G35" i="16"/>
  <c r="C52" i="29"/>
  <c r="C54" i="29"/>
  <c r="E51" i="29"/>
  <c r="D52" i="29"/>
  <c r="C101" i="29"/>
  <c r="C96" i="29"/>
  <c r="B116" i="29"/>
  <c r="B131" i="29"/>
  <c r="D35" i="16"/>
  <c r="D45" i="16"/>
  <c r="D93" i="29"/>
  <c r="C99" i="29"/>
  <c r="A4" i="24"/>
  <c r="A66" i="24"/>
  <c r="A128" i="24"/>
  <c r="A190" i="24"/>
  <c r="A252" i="24"/>
  <c r="C112" i="12"/>
  <c r="M9" i="12"/>
  <c r="E42" i="22"/>
  <c r="F42" i="22"/>
  <c r="R34" i="11"/>
  <c r="I37" i="12"/>
  <c r="K41" i="12"/>
  <c r="D50" i="16"/>
  <c r="G96" i="12"/>
  <c r="J72" i="22"/>
  <c r="J75" i="22"/>
  <c r="F132" i="29"/>
  <c r="J5" i="12"/>
  <c r="E5" i="12"/>
  <c r="E98" i="12"/>
  <c r="F112" i="12"/>
  <c r="Z34" i="11"/>
  <c r="V34" i="11"/>
  <c r="Z52" i="11"/>
  <c r="V52" i="11"/>
  <c r="W77" i="12"/>
  <c r="E47" i="46"/>
  <c r="F29" i="24"/>
  <c r="E29" i="24"/>
  <c r="F45" i="16"/>
  <c r="F35" i="16"/>
  <c r="E45" i="16"/>
  <c r="E35" i="16"/>
  <c r="V76" i="12"/>
  <c r="D47" i="46"/>
  <c r="O75" i="12"/>
  <c r="J76" i="12"/>
  <c r="K76" i="12"/>
  <c r="L76" i="12"/>
  <c r="M76" i="12"/>
  <c r="F45" i="24"/>
  <c r="B84" i="22"/>
  <c r="D84" i="22"/>
  <c r="F84" i="22"/>
  <c r="H84" i="22"/>
  <c r="J84" i="22"/>
  <c r="I41" i="22"/>
  <c r="J41" i="22"/>
  <c r="B41" i="22"/>
  <c r="C41" i="22"/>
  <c r="D41" i="22"/>
  <c r="E41" i="22"/>
  <c r="F41" i="22"/>
  <c r="G41" i="22"/>
  <c r="H41" i="22"/>
  <c r="K41" i="22"/>
  <c r="A13" i="37"/>
  <c r="B28" i="40"/>
  <c r="H31" i="22"/>
  <c r="X96" i="12"/>
  <c r="K43" i="22"/>
  <c r="G43" i="22"/>
  <c r="H43" i="22"/>
  <c r="I43" i="22"/>
  <c r="J43" i="22"/>
  <c r="E43" i="22"/>
  <c r="F43" i="22"/>
  <c r="B43" i="22"/>
  <c r="C43" i="22"/>
  <c r="D43" i="22"/>
  <c r="AC64" i="11"/>
  <c r="AC65" i="11"/>
  <c r="C104" i="29"/>
  <c r="C28" i="40"/>
  <c r="C67" i="16"/>
  <c r="C68" i="16"/>
  <c r="F15" i="51"/>
  <c r="E15" i="51"/>
  <c r="D15" i="51"/>
  <c r="C51" i="22"/>
  <c r="D51" i="22"/>
  <c r="D60" i="22"/>
  <c r="D113" i="29"/>
  <c r="D128" i="29"/>
  <c r="D54" i="29"/>
  <c r="B123" i="29"/>
  <c r="I12" i="11"/>
  <c r="J12" i="11"/>
  <c r="B125" i="29"/>
  <c r="I14" i="11"/>
  <c r="J14" i="11"/>
  <c r="B124" i="29"/>
  <c r="I13" i="11"/>
  <c r="J13" i="11"/>
  <c r="E9" i="11"/>
  <c r="E28" i="11"/>
  <c r="E56" i="11"/>
  <c r="E85" i="11"/>
  <c r="E95" i="11"/>
  <c r="E109" i="11"/>
  <c r="H28" i="11"/>
  <c r="H56" i="11"/>
  <c r="H85" i="11"/>
  <c r="I9" i="11"/>
  <c r="N9" i="11"/>
  <c r="N28" i="11"/>
  <c r="N56" i="11"/>
  <c r="N85" i="11"/>
  <c r="L7" i="11"/>
  <c r="P7" i="11"/>
  <c r="T7" i="11"/>
  <c r="X7" i="11"/>
  <c r="J7" i="11"/>
  <c r="N7" i="11"/>
  <c r="R7" i="11"/>
  <c r="V7" i="11"/>
  <c r="Z7" i="11"/>
  <c r="I7" i="11"/>
  <c r="M7" i="11"/>
  <c r="Q7" i="11"/>
  <c r="U7" i="11"/>
  <c r="Y7" i="11"/>
  <c r="E50" i="16"/>
  <c r="O77" i="12"/>
  <c r="V37" i="12"/>
  <c r="D34" i="46"/>
  <c r="D12" i="46"/>
  <c r="T96" i="12"/>
  <c r="H28" i="22"/>
  <c r="B96" i="24"/>
  <c r="D99" i="24"/>
  <c r="B100" i="24"/>
  <c r="B99" i="24"/>
  <c r="B102" i="24"/>
  <c r="A168" i="24"/>
  <c r="D168" i="24"/>
  <c r="A201" i="24"/>
  <c r="B79" i="22"/>
  <c r="B71" i="22"/>
  <c r="C110" i="29"/>
  <c r="J15" i="11"/>
  <c r="D92" i="46"/>
  <c r="F214" i="24"/>
  <c r="Z96" i="12"/>
  <c r="E205" i="24"/>
  <c r="B78" i="24"/>
  <c r="D81" i="24"/>
  <c r="E81" i="24"/>
  <c r="B206" i="24"/>
  <c r="B205" i="24"/>
  <c r="B207" i="24"/>
  <c r="W96" i="12"/>
  <c r="E53" i="46"/>
  <c r="E51" i="46"/>
  <c r="E38" i="46"/>
  <c r="H29" i="22"/>
  <c r="K110" i="12"/>
  <c r="B91" i="24"/>
  <c r="B90" i="24"/>
  <c r="B93" i="24"/>
  <c r="E214" i="24"/>
  <c r="F51" i="46"/>
  <c r="F38" i="46"/>
  <c r="G52" i="46"/>
  <c r="F90" i="24"/>
  <c r="D104" i="12"/>
  <c r="D101" i="12"/>
  <c r="B27" i="22"/>
  <c r="D102" i="12"/>
  <c r="D109" i="12"/>
  <c r="D106" i="12"/>
  <c r="B32" i="22"/>
  <c r="D100" i="12"/>
  <c r="B26" i="22"/>
  <c r="D144" i="46"/>
  <c r="D107" i="12"/>
  <c r="D108" i="12"/>
  <c r="D103" i="12"/>
  <c r="D105" i="12"/>
  <c r="B31" i="22"/>
  <c r="B158" i="24"/>
  <c r="D161" i="24"/>
  <c r="F161" i="24"/>
  <c r="I110" i="12"/>
  <c r="B140" i="24"/>
  <c r="D143" i="24"/>
  <c r="B144" i="24"/>
  <c r="D33" i="22"/>
  <c r="F110" i="12"/>
  <c r="F28" i="22"/>
  <c r="F33" i="22"/>
  <c r="F77" i="22"/>
  <c r="B131" i="24"/>
  <c r="D134" i="24"/>
  <c r="E134" i="24"/>
  <c r="E72" i="24"/>
  <c r="F223" i="24"/>
  <c r="E223" i="24"/>
  <c r="B224" i="24"/>
  <c r="B223" i="24"/>
  <c r="D196" i="24"/>
  <c r="B169" i="24"/>
  <c r="C169" i="24"/>
  <c r="B155" i="24"/>
  <c r="B73" i="24"/>
  <c r="B72" i="24"/>
  <c r="C59" i="29"/>
  <c r="C26" i="29"/>
  <c r="O91" i="11"/>
  <c r="O93" i="11"/>
  <c r="I91" i="11"/>
  <c r="I93" i="11"/>
  <c r="J90" i="11"/>
  <c r="J91" i="11"/>
  <c r="J93" i="11"/>
  <c r="C115" i="29"/>
  <c r="C130" i="29"/>
  <c r="E95" i="29"/>
  <c r="D25" i="22"/>
  <c r="D71" i="22"/>
  <c r="D37" i="22"/>
  <c r="D58" i="22"/>
  <c r="D79" i="22"/>
  <c r="G5" i="18"/>
  <c r="H7" i="22"/>
  <c r="H5" i="22"/>
  <c r="F7" i="16"/>
  <c r="G5" i="46"/>
  <c r="F37" i="22"/>
  <c r="F58" i="22"/>
  <c r="F79" i="22"/>
  <c r="F25" i="22"/>
  <c r="F71" i="22"/>
  <c r="A43" i="15"/>
  <c r="D91" i="29"/>
  <c r="D106" i="29"/>
  <c r="D121" i="29"/>
  <c r="D136" i="29"/>
  <c r="D140" i="29"/>
  <c r="E5" i="29"/>
  <c r="A231" i="24"/>
  <c r="D231" i="24"/>
  <c r="A272" i="24"/>
  <c r="A293" i="24"/>
  <c r="D293" i="24"/>
  <c r="A281" i="24"/>
  <c r="A294" i="24"/>
  <c r="D294" i="24"/>
  <c r="A232" i="24"/>
  <c r="D232" i="24"/>
  <c r="F7" i="40"/>
  <c r="O74" i="15"/>
  <c r="O59" i="15"/>
  <c r="D153" i="24"/>
  <c r="E169" i="24"/>
  <c r="F169" i="24"/>
  <c r="E5" i="40"/>
  <c r="G5" i="47"/>
  <c r="N5" i="47"/>
  <c r="E94" i="29"/>
  <c r="C32" i="29"/>
  <c r="C33" i="29"/>
  <c r="D92" i="29"/>
  <c r="C113" i="29"/>
  <c r="C128" i="29"/>
  <c r="B45" i="16"/>
  <c r="C53" i="29"/>
  <c r="D53" i="29"/>
  <c r="C109" i="29"/>
  <c r="C25" i="29"/>
  <c r="D99" i="29"/>
  <c r="D59" i="29"/>
  <c r="D61" i="29"/>
  <c r="C111" i="29"/>
  <c r="C126" i="29"/>
  <c r="R30" i="11"/>
  <c r="N71" i="11"/>
  <c r="D96" i="29"/>
  <c r="E93" i="29"/>
  <c r="D101" i="29"/>
  <c r="F51" i="29"/>
  <c r="F52" i="29"/>
  <c r="E52" i="29"/>
  <c r="E54" i="29"/>
  <c r="L41" i="12"/>
  <c r="K77" i="12"/>
  <c r="R100" i="11"/>
  <c r="W5" i="12"/>
  <c r="I96" i="12"/>
  <c r="J99" i="11"/>
  <c r="J101" i="11"/>
  <c r="B28" i="51"/>
  <c r="B30" i="51"/>
  <c r="G98" i="12"/>
  <c r="L112" i="12"/>
  <c r="F5" i="12"/>
  <c r="K5" i="12"/>
  <c r="X5" i="12"/>
  <c r="B217" i="24"/>
  <c r="B216" i="24"/>
  <c r="B231" i="24"/>
  <c r="C231" i="24"/>
  <c r="V77" i="12"/>
  <c r="D53" i="46"/>
  <c r="D51" i="46"/>
  <c r="D38" i="46"/>
  <c r="M104" i="12"/>
  <c r="M107" i="12"/>
  <c r="M108" i="12"/>
  <c r="M101" i="12"/>
  <c r="M109" i="12"/>
  <c r="M103" i="12"/>
  <c r="M106" i="12"/>
  <c r="M102" i="12"/>
  <c r="M100" i="12"/>
  <c r="M105" i="12"/>
  <c r="J37" i="12"/>
  <c r="J77" i="12"/>
  <c r="N100" i="11"/>
  <c r="D26" i="18"/>
  <c r="O37" i="12"/>
  <c r="J20" i="11"/>
  <c r="E144" i="46"/>
  <c r="D142" i="46"/>
  <c r="E45" i="22"/>
  <c r="F45" i="22"/>
  <c r="AC67" i="11"/>
  <c r="K45" i="22"/>
  <c r="I45" i="22"/>
  <c r="J45" i="22"/>
  <c r="G45" i="22"/>
  <c r="H45" i="22"/>
  <c r="B45" i="22"/>
  <c r="C45" i="22"/>
  <c r="D45" i="22"/>
  <c r="B67" i="16"/>
  <c r="A7" i="37"/>
  <c r="C70" i="16"/>
  <c r="C73" i="16"/>
  <c r="H33" i="22"/>
  <c r="H77" i="22"/>
  <c r="C72" i="16"/>
  <c r="N95" i="11"/>
  <c r="N109" i="11"/>
  <c r="H95" i="11"/>
  <c r="H109" i="11"/>
  <c r="R9" i="11"/>
  <c r="R28" i="11"/>
  <c r="R56" i="11"/>
  <c r="R85" i="11"/>
  <c r="M9" i="11"/>
  <c r="M28" i="11"/>
  <c r="M56" i="11"/>
  <c r="M85" i="11"/>
  <c r="L9" i="11"/>
  <c r="L28" i="11"/>
  <c r="L56" i="11"/>
  <c r="L85" i="11"/>
  <c r="C114" i="29"/>
  <c r="C129" i="29"/>
  <c r="C61" i="29"/>
  <c r="D104" i="29"/>
  <c r="D28" i="40"/>
  <c r="F54" i="29"/>
  <c r="C125" i="29"/>
  <c r="M14" i="11"/>
  <c r="N14" i="11"/>
  <c r="C124" i="29"/>
  <c r="M13" i="11"/>
  <c r="N13" i="11"/>
  <c r="F9" i="11"/>
  <c r="F28" i="11"/>
  <c r="F56" i="11"/>
  <c r="F85" i="11"/>
  <c r="F95" i="11"/>
  <c r="F109" i="11"/>
  <c r="I28" i="11"/>
  <c r="I56" i="11"/>
  <c r="I85" i="11"/>
  <c r="B92" i="24"/>
  <c r="D91" i="24"/>
  <c r="J9" i="11"/>
  <c r="J28" i="11"/>
  <c r="J56" i="11"/>
  <c r="J85" i="11"/>
  <c r="F50" i="16"/>
  <c r="G50" i="16"/>
  <c r="O96" i="12"/>
  <c r="O109" i="12"/>
  <c r="E99" i="24"/>
  <c r="F99" i="24"/>
  <c r="B230" i="24"/>
  <c r="C230" i="24"/>
  <c r="B208" i="24"/>
  <c r="A263" i="24"/>
  <c r="A292" i="24"/>
  <c r="D292" i="24"/>
  <c r="A230" i="24"/>
  <c r="D230" i="24"/>
  <c r="C19" i="51"/>
  <c r="J71" i="11"/>
  <c r="J24" i="11"/>
  <c r="J16" i="11"/>
  <c r="C29" i="18"/>
  <c r="D88" i="46"/>
  <c r="B101" i="24"/>
  <c r="D100" i="24"/>
  <c r="N15" i="11"/>
  <c r="D77" i="22"/>
  <c r="B108" i="24"/>
  <c r="C108" i="24"/>
  <c r="B135" i="24"/>
  <c r="B134" i="24"/>
  <c r="B82" i="24"/>
  <c r="B81" i="24"/>
  <c r="B106" i="24"/>
  <c r="C106" i="24"/>
  <c r="F81" i="24"/>
  <c r="D11" i="46"/>
  <c r="G51" i="46"/>
  <c r="G38" i="46"/>
  <c r="H52" i="46"/>
  <c r="H51" i="46"/>
  <c r="H38" i="46"/>
  <c r="D19" i="24"/>
  <c r="B20" i="24"/>
  <c r="B19" i="24"/>
  <c r="B29" i="22"/>
  <c r="D10" i="24"/>
  <c r="B28" i="22"/>
  <c r="E34" i="46"/>
  <c r="E12" i="46"/>
  <c r="E11" i="46"/>
  <c r="D110" i="12"/>
  <c r="C136" i="46"/>
  <c r="F134" i="24"/>
  <c r="B162" i="24"/>
  <c r="B161" i="24"/>
  <c r="E161" i="24"/>
  <c r="E97" i="29"/>
  <c r="N30" i="11"/>
  <c r="B107" i="29"/>
  <c r="F143" i="24"/>
  <c r="E143" i="24"/>
  <c r="F196" i="24"/>
  <c r="E196" i="24"/>
  <c r="B197" i="24"/>
  <c r="B225" i="24"/>
  <c r="B226" i="24"/>
  <c r="B232" i="24"/>
  <c r="C232" i="24"/>
  <c r="B143" i="24"/>
  <c r="C20" i="18"/>
  <c r="C19" i="18"/>
  <c r="C60" i="29"/>
  <c r="E92" i="29"/>
  <c r="D110" i="29"/>
  <c r="D33" i="29"/>
  <c r="D109" i="29"/>
  <c r="D26" i="29"/>
  <c r="E26" i="29"/>
  <c r="D32" i="29"/>
  <c r="F95" i="29"/>
  <c r="F5" i="29"/>
  <c r="E91" i="29"/>
  <c r="E106" i="29"/>
  <c r="E121" i="29"/>
  <c r="E136" i="29"/>
  <c r="E140" i="29"/>
  <c r="A58" i="15"/>
  <c r="H37" i="22"/>
  <c r="H58" i="22"/>
  <c r="H79" i="22"/>
  <c r="H25" i="22"/>
  <c r="H71" i="22"/>
  <c r="G7" i="16"/>
  <c r="H5" i="46"/>
  <c r="J7" i="22"/>
  <c r="J5" i="22"/>
  <c r="V96" i="12"/>
  <c r="W77" i="11"/>
  <c r="W83" i="11"/>
  <c r="H5" i="47"/>
  <c r="O5" i="47"/>
  <c r="F5" i="40"/>
  <c r="I5" i="47"/>
  <c r="P5" i="47"/>
  <c r="O75" i="15"/>
  <c r="O76" i="15"/>
  <c r="O77" i="15"/>
  <c r="O78" i="15"/>
  <c r="O79" i="15"/>
  <c r="O80" i="15"/>
  <c r="O81" i="15"/>
  <c r="O82" i="15"/>
  <c r="O83" i="15"/>
  <c r="O84" i="15"/>
  <c r="O85" i="15"/>
  <c r="B75" i="24"/>
  <c r="B74" i="24"/>
  <c r="B105" i="24"/>
  <c r="C105" i="24"/>
  <c r="F153" i="24"/>
  <c r="E153" i="24"/>
  <c r="O60" i="15"/>
  <c r="O61" i="15"/>
  <c r="O62" i="15"/>
  <c r="O63" i="15"/>
  <c r="O64" i="15"/>
  <c r="O65" i="15"/>
  <c r="O66" i="15"/>
  <c r="O67" i="15"/>
  <c r="O68" i="15"/>
  <c r="O69" i="15"/>
  <c r="O70" i="15"/>
  <c r="D25" i="29"/>
  <c r="D19" i="29"/>
  <c r="C108" i="29"/>
  <c r="C19" i="29"/>
  <c r="C18" i="29"/>
  <c r="C112" i="29"/>
  <c r="C127" i="29"/>
  <c r="F92" i="29"/>
  <c r="E101" i="29"/>
  <c r="F101" i="29"/>
  <c r="F93" i="29"/>
  <c r="C116" i="29"/>
  <c r="C131" i="29"/>
  <c r="F53" i="29"/>
  <c r="F113" i="29"/>
  <c r="F128" i="29"/>
  <c r="V30" i="11"/>
  <c r="F97" i="29"/>
  <c r="D111" i="29"/>
  <c r="D126" i="29"/>
  <c r="D60" i="29"/>
  <c r="D114" i="29"/>
  <c r="D129" i="29"/>
  <c r="E53" i="29"/>
  <c r="E113" i="29"/>
  <c r="E128" i="29"/>
  <c r="E96" i="29"/>
  <c r="D115" i="29"/>
  <c r="D130" i="29"/>
  <c r="E99" i="29"/>
  <c r="E59" i="29"/>
  <c r="E61" i="29"/>
  <c r="D206" i="24"/>
  <c r="E230" i="24"/>
  <c r="F230" i="24"/>
  <c r="K37" i="12"/>
  <c r="O106" i="12"/>
  <c r="L32" i="22"/>
  <c r="J32" i="22"/>
  <c r="O108" i="12"/>
  <c r="D215" i="24"/>
  <c r="E231" i="24"/>
  <c r="F231" i="24"/>
  <c r="N99" i="11"/>
  <c r="N101" i="11"/>
  <c r="J96" i="12"/>
  <c r="J31" i="22"/>
  <c r="B282" i="24"/>
  <c r="O105" i="12"/>
  <c r="L31" i="22"/>
  <c r="B264" i="24"/>
  <c r="J29" i="22"/>
  <c r="O103" i="12"/>
  <c r="L29" i="22"/>
  <c r="O107" i="12"/>
  <c r="J98" i="12"/>
  <c r="X112" i="12"/>
  <c r="G5" i="12"/>
  <c r="L5" i="12"/>
  <c r="Y5" i="12"/>
  <c r="C25" i="18"/>
  <c r="C24" i="18"/>
  <c r="N6" i="15"/>
  <c r="J26" i="22"/>
  <c r="O100" i="12"/>
  <c r="M110" i="12"/>
  <c r="B273" i="24"/>
  <c r="O104" i="12"/>
  <c r="B30" i="22"/>
  <c r="E26" i="18"/>
  <c r="J28" i="22"/>
  <c r="O102" i="12"/>
  <c r="L28" i="22"/>
  <c r="B255" i="24"/>
  <c r="J27" i="22"/>
  <c r="O101" i="12"/>
  <c r="L27" i="22"/>
  <c r="M41" i="12"/>
  <c r="M77" i="12"/>
  <c r="Z100" i="11"/>
  <c r="L77" i="12"/>
  <c r="V100" i="11"/>
  <c r="B33" i="22"/>
  <c r="B77" i="22"/>
  <c r="F144" i="46"/>
  <c r="E142" i="46"/>
  <c r="D136" i="46"/>
  <c r="E136" i="46"/>
  <c r="F136" i="46"/>
  <c r="G136" i="46"/>
  <c r="H136" i="46"/>
  <c r="C128" i="46"/>
  <c r="C127" i="46"/>
  <c r="C87" i="46"/>
  <c r="C7" i="46"/>
  <c r="C212" i="46"/>
  <c r="C135" i="46"/>
  <c r="AC68" i="11"/>
  <c r="AC69" i="11"/>
  <c r="AC70" i="11"/>
  <c r="E104" i="29"/>
  <c r="E28" i="40"/>
  <c r="M95" i="11"/>
  <c r="M109" i="11"/>
  <c r="L95" i="11"/>
  <c r="L109" i="11"/>
  <c r="R95" i="11"/>
  <c r="R109" i="11"/>
  <c r="J95" i="11"/>
  <c r="J109" i="11"/>
  <c r="I95" i="11"/>
  <c r="I109" i="11"/>
  <c r="B107" i="24"/>
  <c r="C107" i="24"/>
  <c r="B110" i="24"/>
  <c r="P9" i="11"/>
  <c r="P28" i="11"/>
  <c r="P56" i="11"/>
  <c r="P85" i="11"/>
  <c r="Q9" i="11"/>
  <c r="Q28" i="11"/>
  <c r="Q56" i="11"/>
  <c r="Q85" i="11"/>
  <c r="V9" i="11"/>
  <c r="V28" i="11"/>
  <c r="V56" i="11"/>
  <c r="V85" i="11"/>
  <c r="G9" i="11"/>
  <c r="G28" i="11"/>
  <c r="G56" i="11"/>
  <c r="G85" i="11"/>
  <c r="G95" i="11"/>
  <c r="G109" i="11"/>
  <c r="C123" i="29"/>
  <c r="M12" i="11"/>
  <c r="N12" i="11"/>
  <c r="B122" i="29"/>
  <c r="I11" i="11"/>
  <c r="J11" i="11"/>
  <c r="D124" i="29"/>
  <c r="Q13" i="11"/>
  <c r="R13" i="11"/>
  <c r="D125" i="29"/>
  <c r="Q14" i="11"/>
  <c r="R14" i="11"/>
  <c r="E107" i="24"/>
  <c r="F107" i="24"/>
  <c r="B138" i="29"/>
  <c r="B23" i="22"/>
  <c r="E108" i="24"/>
  <c r="F108" i="24"/>
  <c r="B19" i="51"/>
  <c r="N107" i="11"/>
  <c r="C28" i="51"/>
  <c r="C30" i="51"/>
  <c r="E92" i="46"/>
  <c r="E88" i="46"/>
  <c r="B39" i="22"/>
  <c r="C39" i="22"/>
  <c r="B10" i="51"/>
  <c r="R15" i="11"/>
  <c r="F92" i="46"/>
  <c r="E33" i="29"/>
  <c r="B65" i="22"/>
  <c r="B16" i="16"/>
  <c r="X15" i="11"/>
  <c r="V15" i="11"/>
  <c r="G92" i="46"/>
  <c r="N16" i="11"/>
  <c r="D29" i="18"/>
  <c r="D65" i="22"/>
  <c r="B84" i="24"/>
  <c r="B83" i="24"/>
  <c r="D82" i="24"/>
  <c r="F19" i="24"/>
  <c r="E19" i="24"/>
  <c r="E10" i="24"/>
  <c r="B11" i="24"/>
  <c r="B10" i="24"/>
  <c r="F10" i="24"/>
  <c r="F34" i="46"/>
  <c r="F12" i="46"/>
  <c r="F11" i="46"/>
  <c r="C11" i="29"/>
  <c r="N24" i="11"/>
  <c r="B170" i="24"/>
  <c r="C170" i="24"/>
  <c r="B163" i="24"/>
  <c r="B164" i="24"/>
  <c r="B196" i="24"/>
  <c r="D224" i="24"/>
  <c r="E232" i="24"/>
  <c r="F232" i="24"/>
  <c r="B146" i="24"/>
  <c r="B145" i="24"/>
  <c r="B168" i="24"/>
  <c r="C168" i="24"/>
  <c r="E109" i="29"/>
  <c r="E25" i="29"/>
  <c r="F26" i="29"/>
  <c r="F94" i="29"/>
  <c r="E110" i="29"/>
  <c r="E32" i="29"/>
  <c r="J37" i="22"/>
  <c r="J58" i="22"/>
  <c r="J79" i="22"/>
  <c r="J25" i="22"/>
  <c r="J71" i="22"/>
  <c r="A73" i="15"/>
  <c r="F91" i="29"/>
  <c r="F106" i="29"/>
  <c r="F121" i="29"/>
  <c r="F136" i="29"/>
  <c r="F140" i="29"/>
  <c r="O86" i="15"/>
  <c r="O71" i="15"/>
  <c r="D73" i="24"/>
  <c r="E105" i="24"/>
  <c r="F105" i="24"/>
  <c r="F91" i="24"/>
  <c r="E91" i="24"/>
  <c r="D18" i="29"/>
  <c r="D108" i="29"/>
  <c r="E19" i="29"/>
  <c r="D112" i="29"/>
  <c r="D127" i="29"/>
  <c r="F112" i="29"/>
  <c r="F99" i="29"/>
  <c r="F59" i="29"/>
  <c r="F61" i="29"/>
  <c r="R71" i="11"/>
  <c r="E111" i="29"/>
  <c r="E126" i="29"/>
  <c r="D116" i="29"/>
  <c r="D131" i="29"/>
  <c r="E114" i="29"/>
  <c r="E129" i="29"/>
  <c r="E60" i="29"/>
  <c r="E115" i="29"/>
  <c r="E130" i="29"/>
  <c r="F96" i="29"/>
  <c r="F115" i="29"/>
  <c r="F130" i="29"/>
  <c r="Z30" i="11"/>
  <c r="B136" i="24"/>
  <c r="B167" i="24"/>
  <c r="C167" i="24"/>
  <c r="B137" i="24"/>
  <c r="F26" i="18"/>
  <c r="D258" i="24"/>
  <c r="D25" i="18"/>
  <c r="D24" i="18"/>
  <c r="E215" i="24"/>
  <c r="F215" i="24"/>
  <c r="M37" i="12"/>
  <c r="L37" i="12"/>
  <c r="C12" i="29"/>
  <c r="C107" i="29"/>
  <c r="M11" i="11"/>
  <c r="N11" i="11"/>
  <c r="G26" i="18"/>
  <c r="D276" i="24"/>
  <c r="E100" i="24"/>
  <c r="F100" i="24"/>
  <c r="B23" i="16"/>
  <c r="M5" i="12"/>
  <c r="Z5" i="12"/>
  <c r="L98" i="12"/>
  <c r="D285" i="24"/>
  <c r="J33" i="22"/>
  <c r="J77" i="22"/>
  <c r="O6" i="15"/>
  <c r="J107" i="11"/>
  <c r="B50" i="22"/>
  <c r="B61" i="22"/>
  <c r="F109" i="29"/>
  <c r="Y13" i="11"/>
  <c r="F25" i="29"/>
  <c r="E206" i="24"/>
  <c r="F206" i="24"/>
  <c r="O110" i="12"/>
  <c r="L26" i="22"/>
  <c r="L33" i="22"/>
  <c r="D267" i="24"/>
  <c r="R99" i="11"/>
  <c r="R101" i="11"/>
  <c r="D28" i="51"/>
  <c r="D30" i="51"/>
  <c r="K96" i="12"/>
  <c r="G144" i="46"/>
  <c r="F142" i="46"/>
  <c r="AC71" i="11"/>
  <c r="AC73" i="11"/>
  <c r="J18" i="11"/>
  <c r="J26" i="11"/>
  <c r="D15" i="18"/>
  <c r="D15" i="16"/>
  <c r="Z9" i="11"/>
  <c r="Z28" i="11"/>
  <c r="V95" i="11"/>
  <c r="V109" i="11"/>
  <c r="P95" i="11"/>
  <c r="P109" i="11"/>
  <c r="T9" i="11"/>
  <c r="T28" i="11"/>
  <c r="T56" i="11"/>
  <c r="T85" i="11"/>
  <c r="Q95" i="11"/>
  <c r="Q109" i="11"/>
  <c r="U9" i="11"/>
  <c r="U28" i="11"/>
  <c r="U56" i="11"/>
  <c r="U85" i="11"/>
  <c r="C15" i="18"/>
  <c r="B15" i="16"/>
  <c r="F104" i="29"/>
  <c r="F28" i="40"/>
  <c r="Z13" i="11"/>
  <c r="E124" i="29"/>
  <c r="U13" i="11"/>
  <c r="V13" i="11"/>
  <c r="D123" i="29"/>
  <c r="Q12" i="11"/>
  <c r="R12" i="11"/>
  <c r="E125" i="29"/>
  <c r="U14" i="11"/>
  <c r="C21" i="18"/>
  <c r="C18" i="18"/>
  <c r="E106" i="24"/>
  <c r="F106" i="24"/>
  <c r="E110" i="24"/>
  <c r="D19" i="51"/>
  <c r="B49" i="22"/>
  <c r="C49" i="22"/>
  <c r="B23" i="51"/>
  <c r="B24" i="51"/>
  <c r="B57" i="16"/>
  <c r="D82" i="22"/>
  <c r="N18" i="11"/>
  <c r="C10" i="51"/>
  <c r="K77" i="11"/>
  <c r="K83" i="11"/>
  <c r="C18" i="16"/>
  <c r="C19" i="16"/>
  <c r="C21" i="16"/>
  <c r="C24" i="16"/>
  <c r="R24" i="11"/>
  <c r="B54" i="16"/>
  <c r="D48" i="16"/>
  <c r="D16" i="16"/>
  <c r="V16" i="11"/>
  <c r="G88" i="46"/>
  <c r="R16" i="11"/>
  <c r="F88" i="46"/>
  <c r="X16" i="11"/>
  <c r="Z15" i="11"/>
  <c r="H92" i="46"/>
  <c r="E82" i="24"/>
  <c r="F82" i="24"/>
  <c r="B13" i="24"/>
  <c r="B12" i="24"/>
  <c r="B172" i="24"/>
  <c r="G34" i="46"/>
  <c r="G12" i="46"/>
  <c r="G11" i="46"/>
  <c r="H34" i="46"/>
  <c r="H12" i="46"/>
  <c r="H11" i="46"/>
  <c r="E39" i="22"/>
  <c r="D39" i="22"/>
  <c r="D162" i="24"/>
  <c r="E170" i="24"/>
  <c r="F170" i="24"/>
  <c r="E224" i="24"/>
  <c r="F224" i="24"/>
  <c r="B198" i="24"/>
  <c r="B229" i="24"/>
  <c r="C229" i="24"/>
  <c r="B234" i="24"/>
  <c r="B199" i="24"/>
  <c r="D144" i="24"/>
  <c r="E168" i="24"/>
  <c r="F168" i="24"/>
  <c r="F32" i="29"/>
  <c r="F33" i="29"/>
  <c r="F108" i="29"/>
  <c r="F19" i="29"/>
  <c r="F110" i="29"/>
  <c r="B21" i="24"/>
  <c r="B44" i="24"/>
  <c r="B22" i="24"/>
  <c r="E73" i="24"/>
  <c r="F73" i="24"/>
  <c r="F18" i="29"/>
  <c r="F127" i="29"/>
  <c r="E108" i="29"/>
  <c r="U12" i="11"/>
  <c r="V12" i="11"/>
  <c r="E18" i="29"/>
  <c r="E112" i="29"/>
  <c r="F60" i="29"/>
  <c r="F114" i="29"/>
  <c r="F111" i="29"/>
  <c r="F116" i="29"/>
  <c r="E116" i="29"/>
  <c r="Z71" i="11"/>
  <c r="V71" i="11"/>
  <c r="E19" i="51"/>
  <c r="E50" i="22"/>
  <c r="E258" i="24"/>
  <c r="F258" i="24"/>
  <c r="B259" i="24"/>
  <c r="D135" i="24"/>
  <c r="E167" i="24"/>
  <c r="F167" i="24"/>
  <c r="E25" i="18"/>
  <c r="E24" i="18"/>
  <c r="C50" i="22"/>
  <c r="D50" i="22"/>
  <c r="D23" i="16"/>
  <c r="D57" i="16"/>
  <c r="B268" i="24"/>
  <c r="F267" i="24"/>
  <c r="E267" i="24"/>
  <c r="C122" i="29"/>
  <c r="C119" i="29"/>
  <c r="C138" i="29"/>
  <c r="D23" i="22"/>
  <c r="F124" i="29"/>
  <c r="D12" i="29"/>
  <c r="D11" i="29"/>
  <c r="D107" i="29"/>
  <c r="Q11" i="11"/>
  <c r="R11" i="11"/>
  <c r="B286" i="24"/>
  <c r="F285" i="24"/>
  <c r="E285" i="24"/>
  <c r="F276" i="24"/>
  <c r="B277" i="24"/>
  <c r="E276" i="24"/>
  <c r="V99" i="11"/>
  <c r="L96" i="12"/>
  <c r="Y9" i="11"/>
  <c r="Y28" i="11"/>
  <c r="Z56" i="11"/>
  <c r="Z85" i="11"/>
  <c r="Z99" i="11"/>
  <c r="Z101" i="11"/>
  <c r="M96" i="12"/>
  <c r="G46" i="22"/>
  <c r="H46" i="22"/>
  <c r="H144" i="46"/>
  <c r="H142" i="46"/>
  <c r="G142" i="46"/>
  <c r="X9" i="11"/>
  <c r="B46" i="22"/>
  <c r="C46" i="22"/>
  <c r="D46" i="22"/>
  <c r="E46" i="22"/>
  <c r="F46" i="22"/>
  <c r="B9" i="51"/>
  <c r="B11" i="51"/>
  <c r="B38" i="22"/>
  <c r="C38" i="22"/>
  <c r="D38" i="22"/>
  <c r="I31" i="11"/>
  <c r="J31" i="11"/>
  <c r="AC74" i="11"/>
  <c r="AC75" i="11"/>
  <c r="AC76" i="11"/>
  <c r="T95" i="11"/>
  <c r="T109" i="11"/>
  <c r="U95" i="11"/>
  <c r="U109" i="11"/>
  <c r="Z95" i="11"/>
  <c r="Z109" i="11"/>
  <c r="C7" i="51"/>
  <c r="M79" i="11"/>
  <c r="N79" i="11"/>
  <c r="E15" i="18"/>
  <c r="E15" i="16"/>
  <c r="N26" i="11"/>
  <c r="D47" i="16"/>
  <c r="M31" i="11"/>
  <c r="N31" i="11"/>
  <c r="N36" i="11"/>
  <c r="N54" i="11"/>
  <c r="F125" i="29"/>
  <c r="Y14" i="11"/>
  <c r="R18" i="11"/>
  <c r="Q31" i="11"/>
  <c r="R31" i="11"/>
  <c r="F123" i="29"/>
  <c r="Y12" i="11"/>
  <c r="Z12" i="11"/>
  <c r="C16" i="18"/>
  <c r="B59" i="22"/>
  <c r="D161" i="46"/>
  <c r="B20" i="16"/>
  <c r="X28" i="11"/>
  <c r="X56" i="11"/>
  <c r="X85" i="11"/>
  <c r="Y56" i="11"/>
  <c r="Y85" i="11"/>
  <c r="M115" i="11"/>
  <c r="Q115" i="11"/>
  <c r="B43" i="24"/>
  <c r="C43" i="24"/>
  <c r="F19" i="51"/>
  <c r="Z107" i="11"/>
  <c r="F28" i="51"/>
  <c r="F30" i="51"/>
  <c r="C75" i="16"/>
  <c r="C9" i="51"/>
  <c r="C11" i="51"/>
  <c r="E38" i="22"/>
  <c r="G39" i="22"/>
  <c r="D10" i="51"/>
  <c r="E29" i="18"/>
  <c r="E48" i="16"/>
  <c r="Z24" i="11"/>
  <c r="F29" i="18"/>
  <c r="F48" i="16"/>
  <c r="V24" i="11"/>
  <c r="B47" i="16"/>
  <c r="F39" i="22"/>
  <c r="Z16" i="11"/>
  <c r="G29" i="18"/>
  <c r="G48" i="16"/>
  <c r="H88" i="46"/>
  <c r="E43" i="24"/>
  <c r="D11" i="24"/>
  <c r="C30" i="16"/>
  <c r="C32" i="16"/>
  <c r="C79" i="16"/>
  <c r="C77" i="16"/>
  <c r="E162" i="24"/>
  <c r="F162" i="24"/>
  <c r="D197" i="24"/>
  <c r="E229" i="24"/>
  <c r="F229" i="24"/>
  <c r="E234" i="24"/>
  <c r="E172" i="24"/>
  <c r="F144" i="24"/>
  <c r="E144" i="24"/>
  <c r="C44" i="24"/>
  <c r="D20" i="24"/>
  <c r="E44" i="24"/>
  <c r="E123" i="29"/>
  <c r="E127" i="29"/>
  <c r="F131" i="29"/>
  <c r="F126" i="29"/>
  <c r="E131" i="29"/>
  <c r="F129" i="29"/>
  <c r="I46" i="22"/>
  <c r="D61" i="22"/>
  <c r="F107" i="29"/>
  <c r="Y11" i="11"/>
  <c r="Z11" i="11"/>
  <c r="F11" i="29"/>
  <c r="F12" i="29"/>
  <c r="E107" i="29"/>
  <c r="U11" i="11"/>
  <c r="V11" i="11"/>
  <c r="E12" i="29"/>
  <c r="E11" i="29"/>
  <c r="B276" i="24"/>
  <c r="B285" i="24"/>
  <c r="C141" i="29"/>
  <c r="C142" i="29"/>
  <c r="M114" i="11"/>
  <c r="N114" i="11"/>
  <c r="D7" i="18"/>
  <c r="C47" i="40"/>
  <c r="B258" i="24"/>
  <c r="D119" i="29"/>
  <c r="D138" i="29"/>
  <c r="F23" i="22"/>
  <c r="D122" i="29"/>
  <c r="B267" i="24"/>
  <c r="F50" i="22"/>
  <c r="F61" i="22"/>
  <c r="G50" i="22"/>
  <c r="R107" i="11"/>
  <c r="F135" i="24"/>
  <c r="E135" i="24"/>
  <c r="G25" i="18"/>
  <c r="G24" i="18"/>
  <c r="F25" i="18"/>
  <c r="F24" i="18"/>
  <c r="V101" i="11"/>
  <c r="E28" i="51"/>
  <c r="E30" i="51"/>
  <c r="E23" i="16"/>
  <c r="E57" i="16"/>
  <c r="J36" i="11"/>
  <c r="J54" i="11"/>
  <c r="B52" i="16"/>
  <c r="AC77" i="11"/>
  <c r="Y95" i="11"/>
  <c r="Y109" i="11"/>
  <c r="X95" i="11"/>
  <c r="X109" i="11"/>
  <c r="D7" i="51"/>
  <c r="Q79" i="11"/>
  <c r="R79" i="11"/>
  <c r="N81" i="11"/>
  <c r="D32" i="18"/>
  <c r="D9" i="51"/>
  <c r="D11" i="51"/>
  <c r="F38" i="22"/>
  <c r="G38" i="22"/>
  <c r="O118" i="11"/>
  <c r="O120" i="11"/>
  <c r="O122" i="11"/>
  <c r="M74" i="11"/>
  <c r="N74" i="11"/>
  <c r="R26" i="11"/>
  <c r="E47" i="16"/>
  <c r="F10" i="51"/>
  <c r="K39" i="22"/>
  <c r="N115" i="11"/>
  <c r="D56" i="18"/>
  <c r="D52" i="18"/>
  <c r="D26" i="16"/>
  <c r="C12" i="51"/>
  <c r="C16" i="51"/>
  <c r="B48" i="24"/>
  <c r="U115" i="11"/>
  <c r="R115" i="11"/>
  <c r="I39" i="22"/>
  <c r="J39" i="22"/>
  <c r="E10" i="51"/>
  <c r="H39" i="22"/>
  <c r="F65" i="22"/>
  <c r="E16" i="16"/>
  <c r="H65" i="22"/>
  <c r="J65" i="22"/>
  <c r="F16" i="16"/>
  <c r="D16" i="18"/>
  <c r="G16" i="16"/>
  <c r="R36" i="11"/>
  <c r="R54" i="11"/>
  <c r="F11" i="24"/>
  <c r="E11" i="24"/>
  <c r="F43" i="24"/>
  <c r="E197" i="24"/>
  <c r="F197" i="24"/>
  <c r="E40" i="22"/>
  <c r="B83" i="22"/>
  <c r="C163" i="46"/>
  <c r="F44" i="24"/>
  <c r="F20" i="24"/>
  <c r="E20" i="24"/>
  <c r="K46" i="22"/>
  <c r="J46" i="22"/>
  <c r="F23" i="16"/>
  <c r="F57" i="16"/>
  <c r="K118" i="11"/>
  <c r="K120" i="11"/>
  <c r="K122" i="11"/>
  <c r="B291" i="24"/>
  <c r="C291" i="24"/>
  <c r="B260" i="24"/>
  <c r="B261" i="24"/>
  <c r="E138" i="29"/>
  <c r="H23" i="22"/>
  <c r="E119" i="29"/>
  <c r="E122" i="29"/>
  <c r="G23" i="16"/>
  <c r="G57" i="16"/>
  <c r="D6" i="18"/>
  <c r="D10" i="16"/>
  <c r="F119" i="29"/>
  <c r="F122" i="29"/>
  <c r="F138" i="29"/>
  <c r="J23" i="22"/>
  <c r="B278" i="24"/>
  <c r="B293" i="24"/>
  <c r="C293" i="24"/>
  <c r="B279" i="24"/>
  <c r="I50" i="22"/>
  <c r="J50" i="22"/>
  <c r="V107" i="11"/>
  <c r="H50" i="22"/>
  <c r="H61" i="22"/>
  <c r="K50" i="22"/>
  <c r="B292" i="24"/>
  <c r="C292" i="24"/>
  <c r="B269" i="24"/>
  <c r="B270" i="24"/>
  <c r="E7" i="18"/>
  <c r="D47" i="40"/>
  <c r="D141" i="29"/>
  <c r="D142" i="29"/>
  <c r="Q114" i="11"/>
  <c r="R114" i="11"/>
  <c r="B294" i="24"/>
  <c r="C294" i="24"/>
  <c r="B287" i="24"/>
  <c r="B288" i="24"/>
  <c r="B12" i="51"/>
  <c r="B16" i="51"/>
  <c r="B40" i="22"/>
  <c r="C40" i="22"/>
  <c r="D40" i="22"/>
  <c r="E48" i="24"/>
  <c r="F7" i="51"/>
  <c r="Y79" i="11"/>
  <c r="Z79" i="11"/>
  <c r="C21" i="51"/>
  <c r="E48" i="22"/>
  <c r="E7" i="51"/>
  <c r="U79" i="11"/>
  <c r="V79" i="11"/>
  <c r="R81" i="11"/>
  <c r="E32" i="18"/>
  <c r="N77" i="11"/>
  <c r="D17" i="18"/>
  <c r="D18" i="16"/>
  <c r="S118" i="11"/>
  <c r="S120" i="11"/>
  <c r="S122" i="11"/>
  <c r="Q74" i="11"/>
  <c r="R74" i="11"/>
  <c r="D12" i="51"/>
  <c r="D16" i="51"/>
  <c r="Y115" i="11"/>
  <c r="Z115" i="11"/>
  <c r="V115" i="11"/>
  <c r="E16" i="18"/>
  <c r="F40" i="22"/>
  <c r="D52" i="16"/>
  <c r="C174" i="46"/>
  <c r="C172" i="46"/>
  <c r="C162" i="46"/>
  <c r="C134" i="46"/>
  <c r="C213" i="46"/>
  <c r="C214" i="46"/>
  <c r="D174" i="46"/>
  <c r="D172" i="46"/>
  <c r="G40" i="22"/>
  <c r="D34" i="18"/>
  <c r="D83" i="22"/>
  <c r="C83" i="22"/>
  <c r="B87" i="22"/>
  <c r="B89" i="22"/>
  <c r="F141" i="29"/>
  <c r="F142" i="29"/>
  <c r="Y114" i="11"/>
  <c r="Z114" i="11"/>
  <c r="G7" i="18"/>
  <c r="F47" i="40"/>
  <c r="D14" i="16"/>
  <c r="E141" i="29"/>
  <c r="E142" i="29"/>
  <c r="U114" i="11"/>
  <c r="V114" i="11"/>
  <c r="F7" i="18"/>
  <c r="E47" i="40"/>
  <c r="D259" i="24"/>
  <c r="E291" i="24"/>
  <c r="F291" i="24"/>
  <c r="D40" i="16"/>
  <c r="D46" i="16"/>
  <c r="D49" i="16"/>
  <c r="D51" i="16"/>
  <c r="D76" i="16"/>
  <c r="E6" i="18"/>
  <c r="E10" i="16"/>
  <c r="D277" i="24"/>
  <c r="E293" i="24"/>
  <c r="F293" i="24"/>
  <c r="B296" i="24"/>
  <c r="D268" i="24"/>
  <c r="E292" i="24"/>
  <c r="F292" i="24"/>
  <c r="J61" i="22"/>
  <c r="D60" i="16"/>
  <c r="D34" i="16"/>
  <c r="D286" i="24"/>
  <c r="E294" i="24"/>
  <c r="F294" i="24"/>
  <c r="N83" i="11"/>
  <c r="D53" i="16"/>
  <c r="E47" i="22"/>
  <c r="D21" i="51"/>
  <c r="G48" i="22"/>
  <c r="V81" i="11"/>
  <c r="F32" i="18"/>
  <c r="F48" i="22"/>
  <c r="Z81" i="11"/>
  <c r="G32" i="18"/>
  <c r="E56" i="18"/>
  <c r="E52" i="18"/>
  <c r="E26" i="16"/>
  <c r="W118" i="11"/>
  <c r="W120" i="11"/>
  <c r="W122" i="11"/>
  <c r="U74" i="11"/>
  <c r="V74" i="11"/>
  <c r="E17" i="18"/>
  <c r="E18" i="16"/>
  <c r="R77" i="11"/>
  <c r="C20" i="51"/>
  <c r="C22" i="51"/>
  <c r="G56" i="18"/>
  <c r="G52" i="18"/>
  <c r="Y74" i="11"/>
  <c r="Z74" i="11"/>
  <c r="F82" i="22"/>
  <c r="G82" i="22"/>
  <c r="E174" i="46"/>
  <c r="E172" i="46"/>
  <c r="D163" i="46"/>
  <c r="C87" i="22"/>
  <c r="F83" i="22"/>
  <c r="D87" i="22"/>
  <c r="D89" i="22"/>
  <c r="E296" i="24"/>
  <c r="D17" i="16"/>
  <c r="D19" i="16"/>
  <c r="E268" i="24"/>
  <c r="F268" i="24"/>
  <c r="E259" i="24"/>
  <c r="F259" i="24"/>
  <c r="F6" i="18"/>
  <c r="F10" i="16"/>
  <c r="F277" i="24"/>
  <c r="E277" i="24"/>
  <c r="E76" i="16"/>
  <c r="E40" i="16"/>
  <c r="E46" i="16"/>
  <c r="E49" i="16"/>
  <c r="E51" i="16"/>
  <c r="C58" i="40"/>
  <c r="C48" i="40"/>
  <c r="F286" i="24"/>
  <c r="E286" i="24"/>
  <c r="E14" i="16"/>
  <c r="G10" i="16"/>
  <c r="G6" i="18"/>
  <c r="F47" i="22"/>
  <c r="R83" i="11"/>
  <c r="E53" i="16"/>
  <c r="G47" i="22"/>
  <c r="F21" i="51"/>
  <c r="K48" i="22"/>
  <c r="E21" i="51"/>
  <c r="I48" i="22"/>
  <c r="J48" i="22"/>
  <c r="H48" i="22"/>
  <c r="E34" i="18"/>
  <c r="F56" i="18"/>
  <c r="F52" i="18"/>
  <c r="F26" i="16"/>
  <c r="D20" i="51"/>
  <c r="D22" i="51"/>
  <c r="F17" i="18"/>
  <c r="V77" i="11"/>
  <c r="Z77" i="11"/>
  <c r="G17" i="18"/>
  <c r="E52" i="16"/>
  <c r="H82" i="22"/>
  <c r="J82" i="22"/>
  <c r="F174" i="46"/>
  <c r="F172" i="46"/>
  <c r="H83" i="22"/>
  <c r="G83" i="22"/>
  <c r="F87" i="22"/>
  <c r="F89" i="22"/>
  <c r="E163" i="46"/>
  <c r="E87" i="22"/>
  <c r="G14" i="16"/>
  <c r="G40" i="16"/>
  <c r="G46" i="16"/>
  <c r="D48" i="40"/>
  <c r="D58" i="40"/>
  <c r="F40" i="16"/>
  <c r="F46" i="16"/>
  <c r="E34" i="16"/>
  <c r="E60" i="16"/>
  <c r="E17" i="16"/>
  <c r="E19" i="16"/>
  <c r="G34" i="18"/>
  <c r="G26" i="16"/>
  <c r="F14" i="16"/>
  <c r="Z83" i="11"/>
  <c r="G53" i="16"/>
  <c r="K47" i="22"/>
  <c r="V83" i="11"/>
  <c r="F53" i="16"/>
  <c r="I47" i="22"/>
  <c r="J47" i="22"/>
  <c r="H47" i="22"/>
  <c r="F34" i="18"/>
  <c r="E20" i="51"/>
  <c r="E22" i="51"/>
  <c r="F20" i="51"/>
  <c r="F22" i="51"/>
  <c r="I82" i="22"/>
  <c r="K82" i="22"/>
  <c r="H174" i="46"/>
  <c r="H172" i="46"/>
  <c r="F163" i="46"/>
  <c r="G87" i="22"/>
  <c r="J83" i="22"/>
  <c r="I83" i="22"/>
  <c r="H87" i="22"/>
  <c r="H89" i="22"/>
  <c r="F60" i="16"/>
  <c r="F34" i="16"/>
  <c r="G60" i="16"/>
  <c r="G34" i="16"/>
  <c r="G174" i="46"/>
  <c r="G172" i="46"/>
  <c r="K83" i="22"/>
  <c r="J87" i="22"/>
  <c r="J89" i="22"/>
  <c r="G163" i="46"/>
  <c r="I87" i="22"/>
  <c r="N20" i="47"/>
  <c r="O20" i="47"/>
  <c r="P20" i="47"/>
  <c r="H163" i="46"/>
  <c r="K87" i="22"/>
  <c r="M23" i="47"/>
  <c r="M88" i="11"/>
  <c r="N88" i="11"/>
  <c r="N23" i="47"/>
  <c r="M87" i="11"/>
  <c r="N87" i="11"/>
  <c r="M90" i="11"/>
  <c r="N90" i="11"/>
  <c r="D21" i="18"/>
  <c r="E161" i="46"/>
  <c r="M89" i="11"/>
  <c r="N89" i="11"/>
  <c r="D20" i="18"/>
  <c r="Q87" i="11"/>
  <c r="Q90" i="11"/>
  <c r="R90" i="11"/>
  <c r="Q89" i="11"/>
  <c r="R89" i="11"/>
  <c r="Q88" i="11"/>
  <c r="R88" i="11"/>
  <c r="P23" i="47"/>
  <c r="O23" i="47"/>
  <c r="M91" i="11"/>
  <c r="M93" i="11"/>
  <c r="N91" i="11"/>
  <c r="E21" i="18"/>
  <c r="F59" i="22"/>
  <c r="E20" i="18"/>
  <c r="D59" i="22"/>
  <c r="D19" i="18"/>
  <c r="D18" i="18"/>
  <c r="D14" i="18"/>
  <c r="D67" i="16"/>
  <c r="Y88" i="11"/>
  <c r="Z88" i="11"/>
  <c r="Y90" i="11"/>
  <c r="Z90" i="11"/>
  <c r="Y87" i="11"/>
  <c r="Y89" i="11"/>
  <c r="Z89" i="11"/>
  <c r="U89" i="11"/>
  <c r="V89" i="11"/>
  <c r="U88" i="11"/>
  <c r="V88" i="11"/>
  <c r="U87" i="11"/>
  <c r="U90" i="11"/>
  <c r="V90" i="11"/>
  <c r="R87" i="11"/>
  <c r="Q91" i="11"/>
  <c r="Q93" i="11"/>
  <c r="N93" i="11"/>
  <c r="F161" i="46"/>
  <c r="F20" i="18"/>
  <c r="G21" i="18"/>
  <c r="J59" i="22"/>
  <c r="F21" i="18"/>
  <c r="R91" i="11"/>
  <c r="E19" i="18"/>
  <c r="E18" i="18"/>
  <c r="E14" i="18"/>
  <c r="E67" i="16"/>
  <c r="D20" i="16"/>
  <c r="D21" i="16"/>
  <c r="G20" i="18"/>
  <c r="U91" i="11"/>
  <c r="U93" i="11"/>
  <c r="V87" i="11"/>
  <c r="Z87" i="11"/>
  <c r="Z91" i="11"/>
  <c r="Y91" i="11"/>
  <c r="Y93" i="11"/>
  <c r="D54" i="16"/>
  <c r="D56" i="16"/>
  <c r="D59" i="16"/>
  <c r="D63" i="16"/>
  <c r="D49" i="22"/>
  <c r="C23" i="51"/>
  <c r="C24" i="51"/>
  <c r="R93" i="11"/>
  <c r="Z93" i="11"/>
  <c r="F23" i="51"/>
  <c r="F24" i="51"/>
  <c r="G161" i="46"/>
  <c r="H161" i="46"/>
  <c r="H59" i="22"/>
  <c r="E20" i="16"/>
  <c r="E21" i="16"/>
  <c r="D33" i="18"/>
  <c r="D76" i="18"/>
  <c r="G19" i="18"/>
  <c r="G67" i="16"/>
  <c r="V91" i="11"/>
  <c r="F19" i="18"/>
  <c r="F18" i="18"/>
  <c r="F67" i="16"/>
  <c r="D75" i="16"/>
  <c r="C57" i="40"/>
  <c r="D24" i="16"/>
  <c r="E54" i="16"/>
  <c r="E56" i="16"/>
  <c r="E59" i="16"/>
  <c r="E63" i="16"/>
  <c r="F49" i="22"/>
  <c r="G49" i="22"/>
  <c r="G53" i="22"/>
  <c r="F181" i="46"/>
  <c r="C26" i="51"/>
  <c r="G54" i="16"/>
  <c r="D23" i="51"/>
  <c r="D24" i="51"/>
  <c r="V93" i="11"/>
  <c r="E23" i="51"/>
  <c r="E24" i="51"/>
  <c r="G18" i="18"/>
  <c r="K49" i="22"/>
  <c r="F20" i="16"/>
  <c r="E33" i="18"/>
  <c r="E76" i="18"/>
  <c r="M113" i="11"/>
  <c r="N113" i="11"/>
  <c r="E75" i="16"/>
  <c r="D57" i="40"/>
  <c r="E24" i="16"/>
  <c r="D77" i="16"/>
  <c r="D30" i="16"/>
  <c r="D26" i="51"/>
  <c r="G56" i="22"/>
  <c r="F54" i="16"/>
  <c r="H49" i="22"/>
  <c r="I49" i="22"/>
  <c r="J49" i="22"/>
  <c r="G20" i="16"/>
  <c r="N118" i="11"/>
  <c r="D78" i="18"/>
  <c r="D77" i="18"/>
  <c r="D68" i="16"/>
  <c r="D70" i="16"/>
  <c r="Q113" i="11"/>
  <c r="R113" i="11"/>
  <c r="E30" i="16"/>
  <c r="E77" i="16"/>
  <c r="D52" i="22"/>
  <c r="E52" i="22"/>
  <c r="E53" i="22"/>
  <c r="E56" i="22"/>
  <c r="N120" i="11"/>
  <c r="N122" i="11"/>
  <c r="C31" i="51"/>
  <c r="C32" i="51"/>
  <c r="F199" i="46"/>
  <c r="F162" i="46"/>
  <c r="R118" i="11"/>
  <c r="D31" i="16"/>
  <c r="D81" i="18"/>
  <c r="E155" i="46"/>
  <c r="F154" i="46"/>
  <c r="E68" i="16"/>
  <c r="E70" i="16"/>
  <c r="E78" i="18"/>
  <c r="E77" i="18"/>
  <c r="D81" i="16"/>
  <c r="D72" i="16"/>
  <c r="D31" i="51"/>
  <c r="D32" i="51"/>
  <c r="D34" i="51"/>
  <c r="D36" i="51"/>
  <c r="F52" i="22"/>
  <c r="C34" i="51"/>
  <c r="C36" i="51"/>
  <c r="R120" i="11"/>
  <c r="R122" i="11"/>
  <c r="E181" i="46"/>
  <c r="E162" i="46"/>
  <c r="E31" i="16"/>
  <c r="E81" i="18"/>
  <c r="F155" i="46"/>
  <c r="G154" i="46"/>
  <c r="E81" i="16"/>
  <c r="E72" i="16"/>
  <c r="C52" i="40"/>
  <c r="D64" i="16"/>
  <c r="D65" i="16"/>
  <c r="D32" i="16"/>
  <c r="F56" i="22"/>
  <c r="F53" i="22"/>
  <c r="F67" i="22"/>
  <c r="D79" i="16"/>
  <c r="C60" i="40"/>
  <c r="D73" i="16"/>
  <c r="F135" i="46"/>
  <c r="E64" i="16"/>
  <c r="E65" i="16"/>
  <c r="E32" i="16"/>
  <c r="D52" i="40"/>
  <c r="E79" i="16"/>
  <c r="D60" i="40"/>
  <c r="E99" i="16"/>
  <c r="E73" i="16"/>
  <c r="F134" i="46"/>
  <c r="F213" i="46"/>
  <c r="B112" i="29"/>
  <c r="B127" i="29"/>
  <c r="B119" i="29"/>
  <c r="B7" i="51"/>
  <c r="D7" i="37"/>
  <c r="B47" i="40"/>
  <c r="I79" i="11"/>
  <c r="J79" i="11"/>
  <c r="C7" i="18"/>
  <c r="C6" i="18"/>
  <c r="B141" i="29"/>
  <c r="B142" i="29"/>
  <c r="C55" i="40"/>
  <c r="I114" i="11"/>
  <c r="J114" i="11"/>
  <c r="C32" i="18"/>
  <c r="J81" i="11"/>
  <c r="C13" i="37"/>
  <c r="C11" i="37"/>
  <c r="I74" i="11"/>
  <c r="J74" i="11"/>
  <c r="B10" i="16"/>
  <c r="B76" i="16"/>
  <c r="B48" i="40"/>
  <c r="B14" i="16"/>
  <c r="C17" i="18"/>
  <c r="B18" i="16"/>
  <c r="C56" i="18"/>
  <c r="C52" i="18"/>
  <c r="B21" i="51"/>
  <c r="B48" i="22"/>
  <c r="C48" i="22"/>
  <c r="D48" i="22"/>
  <c r="E55" i="40"/>
  <c r="J77" i="11"/>
  <c r="B40" i="16"/>
  <c r="B46" i="16"/>
  <c r="B49" i="16"/>
  <c r="B51" i="16"/>
  <c r="B17" i="16"/>
  <c r="B58" i="40"/>
  <c r="B47" i="22"/>
  <c r="C47" i="22"/>
  <c r="D47" i="22"/>
  <c r="D56" i="22"/>
  <c r="C34" i="18"/>
  <c r="B26" i="16"/>
  <c r="C14" i="18"/>
  <c r="C33" i="18"/>
  <c r="B20" i="51"/>
  <c r="B22" i="51"/>
  <c r="B26" i="51"/>
  <c r="J83" i="11"/>
  <c r="B53" i="16"/>
  <c r="B56" i="16"/>
  <c r="B59" i="16"/>
  <c r="B19" i="16"/>
  <c r="B21" i="16"/>
  <c r="F55" i="40"/>
  <c r="C76" i="18"/>
  <c r="I113" i="11"/>
  <c r="J113" i="11"/>
  <c r="B68" i="16"/>
  <c r="B70" i="16"/>
  <c r="B60" i="16"/>
  <c r="B63" i="16"/>
  <c r="B34" i="16"/>
  <c r="D53" i="22"/>
  <c r="D67" i="22"/>
  <c r="B24" i="16"/>
  <c r="B77" i="16"/>
  <c r="B75" i="16"/>
  <c r="B57" i="40"/>
  <c r="J118" i="11"/>
  <c r="C78" i="18"/>
  <c r="C77" i="18"/>
  <c r="B31" i="16"/>
  <c r="B64" i="16"/>
  <c r="B65" i="16"/>
  <c r="D55" i="40"/>
  <c r="B7" i="37"/>
  <c r="E7" i="37"/>
  <c r="F7" i="37"/>
  <c r="D181" i="46"/>
  <c r="D162" i="46"/>
  <c r="B72" i="16"/>
  <c r="B81" i="16"/>
  <c r="C81" i="16"/>
  <c r="B30" i="16"/>
  <c r="B31" i="51"/>
  <c r="B32" i="51"/>
  <c r="B34" i="51"/>
  <c r="B36" i="51"/>
  <c r="B52" i="22"/>
  <c r="C52" i="22"/>
  <c r="C53" i="22"/>
  <c r="C56" i="22"/>
  <c r="J120" i="11"/>
  <c r="J122" i="11"/>
  <c r="B32" i="16"/>
  <c r="C81" i="18"/>
  <c r="B52" i="40"/>
  <c r="C7" i="37"/>
  <c r="H7" i="37"/>
  <c r="C12" i="37"/>
  <c r="G7" i="37"/>
  <c r="B12" i="37"/>
  <c r="B13" i="37"/>
  <c r="D13" i="37"/>
  <c r="B11" i="37"/>
  <c r="D11" i="37"/>
  <c r="A12" i="37"/>
  <c r="B73" i="16"/>
  <c r="B99" i="16"/>
  <c r="B53" i="22"/>
  <c r="B67" i="22"/>
  <c r="B56" i="22"/>
  <c r="D155" i="46"/>
  <c r="E154" i="46"/>
  <c r="E135" i="46"/>
  <c r="D99" i="16"/>
  <c r="B79" i="16"/>
  <c r="B60" i="40"/>
  <c r="D12" i="37"/>
  <c r="N7" i="15"/>
  <c r="O7" i="15"/>
  <c r="B10" i="15"/>
  <c r="D10" i="15"/>
  <c r="D78" i="15"/>
  <c r="F11" i="15"/>
  <c r="I11" i="15"/>
  <c r="E134" i="46"/>
  <c r="E213" i="46"/>
  <c r="D135" i="46"/>
  <c r="C99" i="16"/>
  <c r="B40" i="15"/>
  <c r="B53" i="15"/>
  <c r="B47" i="15"/>
  <c r="B64" i="15"/>
  <c r="B48" i="15"/>
  <c r="B63" i="15"/>
  <c r="B62" i="15"/>
  <c r="B22" i="15"/>
  <c r="B61" i="15"/>
  <c r="B36" i="15"/>
  <c r="B16" i="15"/>
  <c r="D33" i="15"/>
  <c r="K11" i="15"/>
  <c r="K10" i="15"/>
  <c r="K39" i="15"/>
  <c r="B59" i="15"/>
  <c r="F10" i="15"/>
  <c r="F30" i="15"/>
  <c r="B49" i="15"/>
  <c r="D60" i="15"/>
  <c r="D29" i="15"/>
  <c r="B67" i="15"/>
  <c r="B34" i="15"/>
  <c r="C11" i="15"/>
  <c r="D83" i="15"/>
  <c r="D68" i="15"/>
  <c r="B30" i="15"/>
  <c r="D48" i="15"/>
  <c r="D47" i="15"/>
  <c r="D30" i="15"/>
  <c r="D59" i="15"/>
  <c r="D51" i="15"/>
  <c r="D85" i="15"/>
  <c r="D79" i="15"/>
  <c r="D80" i="15"/>
  <c r="D32" i="15"/>
  <c r="D31" i="15"/>
  <c r="D76" i="15"/>
  <c r="D84" i="15"/>
  <c r="D44" i="15"/>
  <c r="D75" i="15"/>
  <c r="D36" i="15"/>
  <c r="D21" i="15"/>
  <c r="D45" i="15"/>
  <c r="D37" i="15"/>
  <c r="D35" i="15"/>
  <c r="D77" i="15"/>
  <c r="D82" i="15"/>
  <c r="D40" i="15"/>
  <c r="D70" i="15"/>
  <c r="D50" i="15"/>
  <c r="D18" i="15"/>
  <c r="D54" i="15"/>
  <c r="D19" i="15"/>
  <c r="D22" i="15"/>
  <c r="D49" i="15"/>
  <c r="D62" i="15"/>
  <c r="D66" i="15"/>
  <c r="D20" i="15"/>
  <c r="D63" i="15"/>
  <c r="D53" i="15"/>
  <c r="D52" i="15"/>
  <c r="D55" i="15"/>
  <c r="D74" i="15"/>
  <c r="D24" i="15"/>
  <c r="D23" i="15"/>
  <c r="D67" i="15"/>
  <c r="D15" i="15"/>
  <c r="D25" i="15"/>
  <c r="D16" i="15"/>
  <c r="D14" i="15"/>
  <c r="D69" i="15"/>
  <c r="D61" i="15"/>
  <c r="D34" i="15"/>
  <c r="D65" i="15"/>
  <c r="M11" i="15"/>
  <c r="M10" i="15"/>
  <c r="D17" i="15"/>
  <c r="D38" i="15"/>
  <c r="D39" i="15"/>
  <c r="D81" i="15"/>
  <c r="D46" i="15"/>
  <c r="E10" i="15"/>
  <c r="E11" i="15"/>
  <c r="D64" i="15"/>
  <c r="B78" i="15"/>
  <c r="B83" i="15"/>
  <c r="B70" i="15"/>
  <c r="B31" i="15"/>
  <c r="B33" i="15"/>
  <c r="B65" i="15"/>
  <c r="B20" i="15"/>
  <c r="B24" i="15"/>
  <c r="B45" i="15"/>
  <c r="B68" i="15"/>
  <c r="B29" i="15"/>
  <c r="B85" i="15"/>
  <c r="B76" i="15"/>
  <c r="B54" i="15"/>
  <c r="B79" i="15"/>
  <c r="B15" i="15"/>
  <c r="B80" i="15"/>
  <c r="B44" i="15"/>
  <c r="B82" i="15"/>
  <c r="B69" i="15"/>
  <c r="B84" i="15"/>
  <c r="B51" i="15"/>
  <c r="B21" i="15"/>
  <c r="B25" i="15"/>
  <c r="B14" i="15"/>
  <c r="B81" i="15"/>
  <c r="B38" i="15"/>
  <c r="B39" i="15"/>
  <c r="B60" i="15"/>
  <c r="B66" i="15"/>
  <c r="B35" i="15"/>
  <c r="B18" i="15"/>
  <c r="B50" i="15"/>
  <c r="B11" i="15"/>
  <c r="B17" i="15"/>
  <c r="D11" i="15"/>
  <c r="N8" i="15"/>
  <c r="O8" i="15"/>
  <c r="B37" i="15"/>
  <c r="B23" i="15"/>
  <c r="H11" i="15"/>
  <c r="B32" i="15"/>
  <c r="B74" i="15"/>
  <c r="B46" i="15"/>
  <c r="J11" i="15"/>
  <c r="I10" i="15"/>
  <c r="B75" i="15"/>
  <c r="B19" i="15"/>
  <c r="L10" i="15"/>
  <c r="B55" i="15"/>
  <c r="L11" i="15"/>
  <c r="B77" i="15"/>
  <c r="G10" i="15"/>
  <c r="B52" i="15"/>
  <c r="D134" i="46"/>
  <c r="D213" i="46"/>
  <c r="K24" i="15"/>
  <c r="K54" i="15"/>
  <c r="K68" i="15"/>
  <c r="K83" i="15"/>
  <c r="K66" i="15"/>
  <c r="F70" i="15"/>
  <c r="K23" i="15"/>
  <c r="K55" i="15"/>
  <c r="F45" i="15"/>
  <c r="F59" i="15"/>
  <c r="K76" i="15"/>
  <c r="F40" i="15"/>
  <c r="F85" i="15"/>
  <c r="K36" i="15"/>
  <c r="F25" i="15"/>
  <c r="K64" i="15"/>
  <c r="K18" i="15"/>
  <c r="K17" i="15"/>
  <c r="K59" i="15"/>
  <c r="F79" i="15"/>
  <c r="F35" i="15"/>
  <c r="K67" i="15"/>
  <c r="K31" i="15"/>
  <c r="K49" i="15"/>
  <c r="F55" i="15"/>
  <c r="K37" i="15"/>
  <c r="K38" i="15"/>
  <c r="F67" i="15"/>
  <c r="F22" i="15"/>
  <c r="H10" i="15"/>
  <c r="H85" i="15"/>
  <c r="K29" i="15"/>
  <c r="K81" i="15"/>
  <c r="F83" i="15"/>
  <c r="K70" i="15"/>
  <c r="K65" i="15"/>
  <c r="F68" i="15"/>
  <c r="F62" i="15"/>
  <c r="F39" i="15"/>
  <c r="K14" i="15"/>
  <c r="K79" i="15"/>
  <c r="F48" i="15"/>
  <c r="K44" i="15"/>
  <c r="K22" i="15"/>
  <c r="F34" i="15"/>
  <c r="K48" i="15"/>
  <c r="K53" i="15"/>
  <c r="K75" i="15"/>
  <c r="F61" i="15"/>
  <c r="F16" i="15"/>
  <c r="K74" i="15"/>
  <c r="F15" i="15"/>
  <c r="K82" i="15"/>
  <c r="K84" i="15"/>
  <c r="F78" i="15"/>
  <c r="K61" i="15"/>
  <c r="F50" i="15"/>
  <c r="K78" i="15"/>
  <c r="K40" i="15"/>
  <c r="K45" i="15"/>
  <c r="F24" i="15"/>
  <c r="F69" i="15"/>
  <c r="K77" i="15"/>
  <c r="F60" i="15"/>
  <c r="K69" i="15"/>
  <c r="K32" i="15"/>
  <c r="F77" i="15"/>
  <c r="F32" i="15"/>
  <c r="F80" i="15"/>
  <c r="F20" i="15"/>
  <c r="F49" i="15"/>
  <c r="K20" i="15"/>
  <c r="K15" i="15"/>
  <c r="K25" i="15"/>
  <c r="K85" i="15"/>
  <c r="F46" i="15"/>
  <c r="F38" i="15"/>
  <c r="F23" i="15"/>
  <c r="F31" i="15"/>
  <c r="F63" i="15"/>
  <c r="K33" i="15"/>
  <c r="F82" i="15"/>
  <c r="K62" i="15"/>
  <c r="K21" i="15"/>
  <c r="F53" i="15"/>
  <c r="K16" i="15"/>
  <c r="F75" i="15"/>
  <c r="F84" i="15"/>
  <c r="K80" i="15"/>
  <c r="K34" i="15"/>
  <c r="K50" i="15"/>
  <c r="F36" i="15"/>
  <c r="F21" i="15"/>
  <c r="K47" i="15"/>
  <c r="F47" i="15"/>
  <c r="K63" i="15"/>
  <c r="K19" i="15"/>
  <c r="F81" i="15"/>
  <c r="K60" i="15"/>
  <c r="F51" i="15"/>
  <c r="B71" i="15"/>
  <c r="K30" i="15"/>
  <c r="F44" i="15"/>
  <c r="F29" i="15"/>
  <c r="K46" i="15"/>
  <c r="K35" i="15"/>
  <c r="K52" i="15"/>
  <c r="N9" i="15"/>
  <c r="O9" i="15"/>
  <c r="C10" i="15"/>
  <c r="D41" i="15"/>
  <c r="F18" i="15"/>
  <c r="F54" i="15"/>
  <c r="F14" i="15"/>
  <c r="F19" i="15"/>
  <c r="F74" i="15"/>
  <c r="F66" i="15"/>
  <c r="F76" i="15"/>
  <c r="F37" i="15"/>
  <c r="F33" i="15"/>
  <c r="F52" i="15"/>
  <c r="F64" i="15"/>
  <c r="F17" i="15"/>
  <c r="F65" i="15"/>
  <c r="K51" i="15"/>
  <c r="G83" i="15"/>
  <c r="G46" i="15"/>
  <c r="G17" i="15"/>
  <c r="G32" i="15"/>
  <c r="G81" i="15"/>
  <c r="G62" i="15"/>
  <c r="G61" i="15"/>
  <c r="G24" i="15"/>
  <c r="G77" i="15"/>
  <c r="G50" i="15"/>
  <c r="G52" i="15"/>
  <c r="G65" i="15"/>
  <c r="G14" i="15"/>
  <c r="G64" i="15"/>
  <c r="G54" i="15"/>
  <c r="G40" i="15"/>
  <c r="G25" i="15"/>
  <c r="G22" i="15"/>
  <c r="G39" i="15"/>
  <c r="G76" i="15"/>
  <c r="G85" i="15"/>
  <c r="G69" i="15"/>
  <c r="G63" i="15"/>
  <c r="G53" i="15"/>
  <c r="G23" i="15"/>
  <c r="G19" i="15"/>
  <c r="G37" i="15"/>
  <c r="G31" i="15"/>
  <c r="G51" i="15"/>
  <c r="G35" i="15"/>
  <c r="G29" i="15"/>
  <c r="G80" i="15"/>
  <c r="G48" i="15"/>
  <c r="G16" i="15"/>
  <c r="G59" i="15"/>
  <c r="G67" i="15"/>
  <c r="G74" i="15"/>
  <c r="G66" i="15"/>
  <c r="G34" i="15"/>
  <c r="G70" i="15"/>
  <c r="G45" i="15"/>
  <c r="G75" i="15"/>
  <c r="G49" i="15"/>
  <c r="G15" i="15"/>
  <c r="G84" i="15"/>
  <c r="G82" i="15"/>
  <c r="G36" i="15"/>
  <c r="G18" i="15"/>
  <c r="G30" i="15"/>
  <c r="G33" i="15"/>
  <c r="G79" i="15"/>
  <c r="G60" i="15"/>
  <c r="G68" i="15"/>
  <c r="G47" i="15"/>
  <c r="G38" i="15"/>
  <c r="G55" i="15"/>
  <c r="G78" i="15"/>
  <c r="G44" i="15"/>
  <c r="G20" i="15"/>
  <c r="G21" i="15"/>
  <c r="I29" i="15"/>
  <c r="I50" i="15"/>
  <c r="I32" i="15"/>
  <c r="I35" i="15"/>
  <c r="I74" i="15"/>
  <c r="I18" i="15"/>
  <c r="I17" i="15"/>
  <c r="I61" i="15"/>
  <c r="I20" i="15"/>
  <c r="I84" i="15"/>
  <c r="I45" i="15"/>
  <c r="I59" i="15"/>
  <c r="I53" i="15"/>
  <c r="I48" i="15"/>
  <c r="I40" i="15"/>
  <c r="I60" i="15"/>
  <c r="I51" i="15"/>
  <c r="I33" i="15"/>
  <c r="I39" i="15"/>
  <c r="I38" i="15"/>
  <c r="I44" i="15"/>
  <c r="I23" i="15"/>
  <c r="I34" i="15"/>
  <c r="I68" i="15"/>
  <c r="I49" i="15"/>
  <c r="I79" i="15"/>
  <c r="I78" i="15"/>
  <c r="I30" i="15"/>
  <c r="I85" i="15"/>
  <c r="I81" i="15"/>
  <c r="I67" i="15"/>
  <c r="I75" i="15"/>
  <c r="I80" i="15"/>
  <c r="I83" i="15"/>
  <c r="I70" i="15"/>
  <c r="I37" i="15"/>
  <c r="I69" i="15"/>
  <c r="I16" i="15"/>
  <c r="I63" i="15"/>
  <c r="I65" i="15"/>
  <c r="I15" i="15"/>
  <c r="I31" i="15"/>
  <c r="I14" i="15"/>
  <c r="I24" i="15"/>
  <c r="I64" i="15"/>
  <c r="I25" i="15"/>
  <c r="I52" i="15"/>
  <c r="I66" i="15"/>
  <c r="I19" i="15"/>
  <c r="I55" i="15"/>
  <c r="I77" i="15"/>
  <c r="I76" i="15"/>
  <c r="I46" i="15"/>
  <c r="I82" i="15"/>
  <c r="I22" i="15"/>
  <c r="I47" i="15"/>
  <c r="I36" i="15"/>
  <c r="I62" i="15"/>
  <c r="I54" i="15"/>
  <c r="I21" i="15"/>
  <c r="J10" i="15"/>
  <c r="B86" i="15"/>
  <c r="B41" i="15"/>
  <c r="E52" i="15"/>
  <c r="E16" i="15"/>
  <c r="E82" i="15"/>
  <c r="E74" i="15"/>
  <c r="E65" i="15"/>
  <c r="E47" i="15"/>
  <c r="E20" i="15"/>
  <c r="E54" i="15"/>
  <c r="E44" i="15"/>
  <c r="E22" i="15"/>
  <c r="E63" i="15"/>
  <c r="E70" i="15"/>
  <c r="E29" i="15"/>
  <c r="E77" i="15"/>
  <c r="E18" i="15"/>
  <c r="E79" i="15"/>
  <c r="E78" i="15"/>
  <c r="E23" i="15"/>
  <c r="E80" i="15"/>
  <c r="E64" i="15"/>
  <c r="E69" i="15"/>
  <c r="E49" i="15"/>
  <c r="E81" i="15"/>
  <c r="E17" i="15"/>
  <c r="E38" i="15"/>
  <c r="E32" i="15"/>
  <c r="E55" i="15"/>
  <c r="E31" i="15"/>
  <c r="E37" i="15"/>
  <c r="E36" i="15"/>
  <c r="E46" i="15"/>
  <c r="E35" i="15"/>
  <c r="E51" i="15"/>
  <c r="E21" i="15"/>
  <c r="E59" i="15"/>
  <c r="E53" i="15"/>
  <c r="E50" i="15"/>
  <c r="E45" i="15"/>
  <c r="E14" i="15"/>
  <c r="E68" i="15"/>
  <c r="E25" i="15"/>
  <c r="E67" i="15"/>
  <c r="E75" i="15"/>
  <c r="E40" i="15"/>
  <c r="E48" i="15"/>
  <c r="E19" i="15"/>
  <c r="E34" i="15"/>
  <c r="E60" i="15"/>
  <c r="E83" i="15"/>
  <c r="E61" i="15"/>
  <c r="E85" i="15"/>
  <c r="E76" i="15"/>
  <c r="E39" i="15"/>
  <c r="E62" i="15"/>
  <c r="E33" i="15"/>
  <c r="E30" i="15"/>
  <c r="E84" i="15"/>
  <c r="E66" i="15"/>
  <c r="E15" i="15"/>
  <c r="E24" i="15"/>
  <c r="D56" i="15"/>
  <c r="M33" i="15"/>
  <c r="M36" i="15"/>
  <c r="M35" i="15"/>
  <c r="M74" i="15"/>
  <c r="M24" i="15"/>
  <c r="M84" i="15"/>
  <c r="M69" i="15"/>
  <c r="M80" i="15"/>
  <c r="M62" i="15"/>
  <c r="M49" i="15"/>
  <c r="M29" i="15"/>
  <c r="M77" i="15"/>
  <c r="M25" i="15"/>
  <c r="M38" i="15"/>
  <c r="M85" i="15"/>
  <c r="M32" i="15"/>
  <c r="M37" i="15"/>
  <c r="M64" i="15"/>
  <c r="M53" i="15"/>
  <c r="M75" i="15"/>
  <c r="M50" i="15"/>
  <c r="M83" i="15"/>
  <c r="M63" i="15"/>
  <c r="M19" i="15"/>
  <c r="M65" i="15"/>
  <c r="M22" i="15"/>
  <c r="M44" i="15"/>
  <c r="M34" i="15"/>
  <c r="M68" i="15"/>
  <c r="M81" i="15"/>
  <c r="M46" i="15"/>
  <c r="M17" i="15"/>
  <c r="M30" i="15"/>
  <c r="M55" i="15"/>
  <c r="M59" i="15"/>
  <c r="M61" i="15"/>
  <c r="M31" i="15"/>
  <c r="M51" i="15"/>
  <c r="M48" i="15"/>
  <c r="M20" i="15"/>
  <c r="M16" i="15"/>
  <c r="M67" i="15"/>
  <c r="M76" i="15"/>
  <c r="M70" i="15"/>
  <c r="M21" i="15"/>
  <c r="M60" i="15"/>
  <c r="M78" i="15"/>
  <c r="M39" i="15"/>
  <c r="M45" i="15"/>
  <c r="M14" i="15"/>
  <c r="M40" i="15"/>
  <c r="M52" i="15"/>
  <c r="M18" i="15"/>
  <c r="M79" i="15"/>
  <c r="M15" i="15"/>
  <c r="M66" i="15"/>
  <c r="M54" i="15"/>
  <c r="M23" i="15"/>
  <c r="M47" i="15"/>
  <c r="M82" i="15"/>
  <c r="D86" i="15"/>
  <c r="B56" i="15"/>
  <c r="L47" i="15"/>
  <c r="L15" i="15"/>
  <c r="L32" i="15"/>
  <c r="L74" i="15"/>
  <c r="L34" i="15"/>
  <c r="L31" i="15"/>
  <c r="L67" i="15"/>
  <c r="L68" i="15"/>
  <c r="L35" i="15"/>
  <c r="L61" i="15"/>
  <c r="L49" i="15"/>
  <c r="L77" i="15"/>
  <c r="L37" i="15"/>
  <c r="L65" i="15"/>
  <c r="L76" i="15"/>
  <c r="L83" i="15"/>
  <c r="L45" i="15"/>
  <c r="L30" i="15"/>
  <c r="L33" i="15"/>
  <c r="L78" i="15"/>
  <c r="L16" i="15"/>
  <c r="L60" i="15"/>
  <c r="L20" i="15"/>
  <c r="L14" i="15"/>
  <c r="L54" i="15"/>
  <c r="L17" i="15"/>
  <c r="L36" i="15"/>
  <c r="L23" i="15"/>
  <c r="L80" i="15"/>
  <c r="L85" i="15"/>
  <c r="L19" i="15"/>
  <c r="L55" i="15"/>
  <c r="L51" i="15"/>
  <c r="L59" i="15"/>
  <c r="L69" i="15"/>
  <c r="L62" i="15"/>
  <c r="L29" i="15"/>
  <c r="L81" i="15"/>
  <c r="L79" i="15"/>
  <c r="L84" i="15"/>
  <c r="L39" i="15"/>
  <c r="L53" i="15"/>
  <c r="L66" i="15"/>
  <c r="L38" i="15"/>
  <c r="L46" i="15"/>
  <c r="L22" i="15"/>
  <c r="L50" i="15"/>
  <c r="L70" i="15"/>
  <c r="L25" i="15"/>
  <c r="L52" i="15"/>
  <c r="L64" i="15"/>
  <c r="L40" i="15"/>
  <c r="L44" i="15"/>
  <c r="L75" i="15"/>
  <c r="L82" i="15"/>
  <c r="L24" i="15"/>
  <c r="L21" i="15"/>
  <c r="L63" i="15"/>
  <c r="L18" i="15"/>
  <c r="L48" i="15"/>
  <c r="G11" i="15"/>
  <c r="D71" i="15"/>
  <c r="D26" i="15"/>
  <c r="B26" i="15"/>
  <c r="H17" i="15"/>
  <c r="H62" i="15"/>
  <c r="H40" i="15"/>
  <c r="H18" i="15"/>
  <c r="H66" i="15"/>
  <c r="H68" i="15"/>
  <c r="H80" i="15"/>
  <c r="H30" i="15"/>
  <c r="H64" i="15"/>
  <c r="H49" i="15"/>
  <c r="H46" i="15"/>
  <c r="K86" i="15"/>
  <c r="H19" i="15"/>
  <c r="H70" i="15"/>
  <c r="H34" i="15"/>
  <c r="H36" i="15"/>
  <c r="H23" i="15"/>
  <c r="H44" i="15"/>
  <c r="H54" i="15"/>
  <c r="H52" i="15"/>
  <c r="H76" i="15"/>
  <c r="H61" i="15"/>
  <c r="H16" i="15"/>
  <c r="H32" i="15"/>
  <c r="H53" i="15"/>
  <c r="H83" i="15"/>
  <c r="H81" i="15"/>
  <c r="H60" i="15"/>
  <c r="N10" i="15"/>
  <c r="O10" i="15"/>
  <c r="H24" i="15"/>
  <c r="H55" i="15"/>
  <c r="H35" i="15"/>
  <c r="H22" i="15"/>
  <c r="H15" i="15"/>
  <c r="H25" i="15"/>
  <c r="H37" i="15"/>
  <c r="H33" i="15"/>
  <c r="H79" i="15"/>
  <c r="H21" i="15"/>
  <c r="H14" i="15"/>
  <c r="H51" i="15"/>
  <c r="H59" i="15"/>
  <c r="H29" i="15"/>
  <c r="F56" i="15"/>
  <c r="H75" i="15"/>
  <c r="H48" i="15"/>
  <c r="H39" i="15"/>
  <c r="K56" i="15"/>
  <c r="K26" i="15"/>
  <c r="K41" i="15"/>
  <c r="H78" i="15"/>
  <c r="H20" i="15"/>
  <c r="H38" i="15"/>
  <c r="H63" i="15"/>
  <c r="F71" i="15"/>
  <c r="F41" i="15"/>
  <c r="K71" i="15"/>
  <c r="H82" i="15"/>
  <c r="H31" i="15"/>
  <c r="H84" i="15"/>
  <c r="H74" i="15"/>
  <c r="H77" i="15"/>
  <c r="H47" i="15"/>
  <c r="H69" i="15"/>
  <c r="N11" i="15"/>
  <c r="F86" i="15"/>
  <c r="F26" i="15"/>
  <c r="H50" i="15"/>
  <c r="H65" i="15"/>
  <c r="H67" i="15"/>
  <c r="H45" i="15"/>
  <c r="G86" i="15"/>
  <c r="C37" i="15"/>
  <c r="C45" i="15"/>
  <c r="C40" i="15"/>
  <c r="C39" i="15"/>
  <c r="C44" i="15"/>
  <c r="C20" i="15"/>
  <c r="C80" i="15"/>
  <c r="C81" i="15"/>
  <c r="C83" i="15"/>
  <c r="C48" i="15"/>
  <c r="C52" i="15"/>
  <c r="C79" i="15"/>
  <c r="C77" i="15"/>
  <c r="C68" i="15"/>
  <c r="C23" i="15"/>
  <c r="C38" i="15"/>
  <c r="C75" i="15"/>
  <c r="C54" i="15"/>
  <c r="C60" i="15"/>
  <c r="C69" i="15"/>
  <c r="C33" i="15"/>
  <c r="C21" i="15"/>
  <c r="C31" i="15"/>
  <c r="C62" i="15"/>
  <c r="C24" i="15"/>
  <c r="C61" i="15"/>
  <c r="C51" i="15"/>
  <c r="C18" i="15"/>
  <c r="C19" i="15"/>
  <c r="C65" i="15"/>
  <c r="C32" i="15"/>
  <c r="C84" i="15"/>
  <c r="C16" i="15"/>
  <c r="C14" i="15"/>
  <c r="C78" i="15"/>
  <c r="C82" i="15"/>
  <c r="C53" i="15"/>
  <c r="C22" i="15"/>
  <c r="C59" i="15"/>
  <c r="C25" i="15"/>
  <c r="C34" i="15"/>
  <c r="C36" i="15"/>
  <c r="C15" i="15"/>
  <c r="C35" i="15"/>
  <c r="C67" i="15"/>
  <c r="C46" i="15"/>
  <c r="C50" i="15"/>
  <c r="C29" i="15"/>
  <c r="C70" i="15"/>
  <c r="C17" i="15"/>
  <c r="C55" i="15"/>
  <c r="C76" i="15"/>
  <c r="C74" i="15"/>
  <c r="C63" i="15"/>
  <c r="C30" i="15"/>
  <c r="C49" i="15"/>
  <c r="C64" i="15"/>
  <c r="C85" i="15"/>
  <c r="C47" i="15"/>
  <c r="C66" i="15"/>
  <c r="I56" i="15"/>
  <c r="I86" i="15"/>
  <c r="E56" i="15"/>
  <c r="E26" i="15"/>
  <c r="E86" i="15"/>
  <c r="I71" i="15"/>
  <c r="J64" i="15"/>
  <c r="J62" i="15"/>
  <c r="N62" i="15" s="1"/>
  <c r="J61" i="15"/>
  <c r="J25" i="15"/>
  <c r="J68" i="15"/>
  <c r="J32" i="15"/>
  <c r="J84" i="15"/>
  <c r="J79" i="15"/>
  <c r="J83" i="15"/>
  <c r="J33" i="15"/>
  <c r="J37" i="15"/>
  <c r="J52" i="15"/>
  <c r="J29" i="15"/>
  <c r="J66" i="15"/>
  <c r="J17" i="15"/>
  <c r="J38" i="15"/>
  <c r="J19" i="15"/>
  <c r="J36" i="15"/>
  <c r="J18" i="15"/>
  <c r="J76" i="15"/>
  <c r="J23" i="15"/>
  <c r="J16" i="15"/>
  <c r="J14" i="15"/>
  <c r="J15" i="15"/>
  <c r="J22" i="15"/>
  <c r="J49" i="15"/>
  <c r="J34" i="15"/>
  <c r="J44" i="15"/>
  <c r="J81" i="15"/>
  <c r="J63" i="15"/>
  <c r="J47" i="15"/>
  <c r="J30" i="15"/>
  <c r="J80" i="15"/>
  <c r="J60" i="15"/>
  <c r="N60" i="15"/>
  <c r="J77" i="15"/>
  <c r="J74" i="15"/>
  <c r="N74" i="15"/>
  <c r="J65" i="15"/>
  <c r="J48" i="15"/>
  <c r="J78" i="15"/>
  <c r="J53" i="15"/>
  <c r="J70" i="15"/>
  <c r="J24" i="15"/>
  <c r="J35" i="15"/>
  <c r="J50" i="15"/>
  <c r="J40" i="15"/>
  <c r="J46" i="15"/>
  <c r="J59" i="15"/>
  <c r="J31" i="15"/>
  <c r="J75" i="15"/>
  <c r="J54" i="15"/>
  <c r="J82" i="15"/>
  <c r="J20" i="15"/>
  <c r="J51" i="15"/>
  <c r="J39" i="15"/>
  <c r="J69" i="15"/>
  <c r="J45" i="15"/>
  <c r="J55" i="15"/>
  <c r="J21" i="15"/>
  <c r="J67" i="15"/>
  <c r="J85" i="15"/>
  <c r="I26" i="15"/>
  <c r="E41" i="15"/>
  <c r="M86" i="15"/>
  <c r="I41" i="15"/>
  <c r="L41" i="15"/>
  <c r="E71" i="15"/>
  <c r="L86" i="15"/>
  <c r="L71" i="15"/>
  <c r="G56" i="15"/>
  <c r="G71" i="15"/>
  <c r="M71" i="15"/>
  <c r="L26" i="15"/>
  <c r="M26" i="15"/>
  <c r="G41" i="15"/>
  <c r="L56" i="15"/>
  <c r="G26" i="15"/>
  <c r="M56" i="15"/>
  <c r="M41" i="15"/>
  <c r="N37" i="15"/>
  <c r="E16" i="22"/>
  <c r="H41" i="15"/>
  <c r="N64" i="15"/>
  <c r="I13" i="22"/>
  <c r="H86" i="15"/>
  <c r="N61" i="15"/>
  <c r="I10" i="22"/>
  <c r="H56" i="15"/>
  <c r="H71" i="15"/>
  <c r="N34" i="15"/>
  <c r="E13" i="22"/>
  <c r="N17" i="15"/>
  <c r="H26" i="15"/>
  <c r="N25" i="15"/>
  <c r="N54" i="15"/>
  <c r="G18" i="22"/>
  <c r="N82" i="15"/>
  <c r="K16" i="22"/>
  <c r="N80" i="15"/>
  <c r="K14" i="22"/>
  <c r="N31" i="15"/>
  <c r="E10" i="22"/>
  <c r="N30" i="15"/>
  <c r="E9" i="22"/>
  <c r="N38" i="15"/>
  <c r="E17" i="22"/>
  <c r="N45" i="15"/>
  <c r="F9" i="22" s="1"/>
  <c r="G9" i="22"/>
  <c r="H9" i="22"/>
  <c r="N75" i="15"/>
  <c r="K9" i="22"/>
  <c r="N50" i="15"/>
  <c r="G14" i="22"/>
  <c r="N68" i="15"/>
  <c r="I17" i="22"/>
  <c r="N77" i="15"/>
  <c r="K11" i="22"/>
  <c r="N18" i="15"/>
  <c r="N70" i="15"/>
  <c r="I19" i="22"/>
  <c r="N69" i="15"/>
  <c r="I18" i="22"/>
  <c r="N78" i="15"/>
  <c r="K12" i="22"/>
  <c r="N84" i="15"/>
  <c r="K18" i="22"/>
  <c r="N39" i="15"/>
  <c r="E18" i="22"/>
  <c r="N48" i="15"/>
  <c r="G12" i="22"/>
  <c r="N16" i="15"/>
  <c r="N32" i="15"/>
  <c r="E11" i="22"/>
  <c r="N23" i="15"/>
  <c r="N67" i="15"/>
  <c r="I16" i="22"/>
  <c r="N19" i="15"/>
  <c r="N20" i="15"/>
  <c r="B14" i="22"/>
  <c r="C14" i="22"/>
  <c r="N76" i="15"/>
  <c r="K10" i="22"/>
  <c r="N79" i="15"/>
  <c r="N15" i="15"/>
  <c r="N51" i="15"/>
  <c r="G15" i="22"/>
  <c r="N40" i="15"/>
  <c r="E19" i="22"/>
  <c r="N47" i="15"/>
  <c r="G11" i="22"/>
  <c r="H11" i="22"/>
  <c r="C56" i="15"/>
  <c r="N63" i="15"/>
  <c r="I12" i="22"/>
  <c r="J12" i="22"/>
  <c r="N85" i="15"/>
  <c r="K19" i="22"/>
  <c r="N35" i="15"/>
  <c r="E14" i="22"/>
  <c r="F14" i="22"/>
  <c r="C26" i="15"/>
  <c r="N65" i="15"/>
  <c r="I14" i="22"/>
  <c r="J14" i="22"/>
  <c r="N36" i="15"/>
  <c r="E15" i="22"/>
  <c r="N52" i="15"/>
  <c r="G16" i="22"/>
  <c r="H16" i="22"/>
  <c r="N21" i="15"/>
  <c r="N24" i="15"/>
  <c r="N49" i="15"/>
  <c r="G13" i="22"/>
  <c r="N33" i="15"/>
  <c r="E12" i="22"/>
  <c r="J71" i="15"/>
  <c r="N66" i="15"/>
  <c r="I15" i="22"/>
  <c r="N55" i="15"/>
  <c r="N22" i="15"/>
  <c r="N83" i="15"/>
  <c r="K17" i="22"/>
  <c r="C41" i="15"/>
  <c r="C71" i="15"/>
  <c r="N46" i="15"/>
  <c r="G10" i="22"/>
  <c r="C86" i="15"/>
  <c r="N81" i="15"/>
  <c r="K15" i="22"/>
  <c r="N53" i="15"/>
  <c r="G17" i="22"/>
  <c r="J41" i="15"/>
  <c r="I11" i="22"/>
  <c r="J56" i="15"/>
  <c r="N29" i="15"/>
  <c r="K8" i="22"/>
  <c r="J26" i="15"/>
  <c r="N14" i="15"/>
  <c r="N59" i="15"/>
  <c r="J86" i="15"/>
  <c r="N44" i="15"/>
  <c r="I9" i="22"/>
  <c r="F11" i="22"/>
  <c r="H10" i="22"/>
  <c r="H17" i="22"/>
  <c r="B12" i="22"/>
  <c r="C12" i="22"/>
  <c r="D12" i="22"/>
  <c r="J11" i="22"/>
  <c r="H13" i="22"/>
  <c r="B19" i="22"/>
  <c r="C19" i="22"/>
  <c r="D19" i="22"/>
  <c r="N86" i="15"/>
  <c r="F10" i="22"/>
  <c r="F18" i="22"/>
  <c r="D14" i="22"/>
  <c r="J16" i="22"/>
  <c r="J18" i="22"/>
  <c r="J15" i="22"/>
  <c r="J9" i="22"/>
  <c r="J19" i="22"/>
  <c r="B13" i="22"/>
  <c r="C13" i="22"/>
  <c r="D13" i="22"/>
  <c r="B11" i="22"/>
  <c r="C11" i="22"/>
  <c r="D11" i="22"/>
  <c r="F12" i="22"/>
  <c r="B16" i="22"/>
  <c r="C16" i="22"/>
  <c r="D16" i="22"/>
  <c r="B17" i="22"/>
  <c r="C17" i="22"/>
  <c r="D17" i="22"/>
  <c r="J13" i="22"/>
  <c r="F19" i="22"/>
  <c r="J17" i="22"/>
  <c r="N71" i="15"/>
  <c r="N41" i="15"/>
  <c r="H12" i="22"/>
  <c r="N56" i="15"/>
  <c r="H18" i="22"/>
  <c r="F15" i="22"/>
  <c r="B10" i="22"/>
  <c r="C10" i="22"/>
  <c r="D10" i="22"/>
  <c r="B9" i="22"/>
  <c r="C9" i="22"/>
  <c r="D9" i="22"/>
  <c r="J10" i="22"/>
  <c r="K13" i="22"/>
  <c r="K20" i="22"/>
  <c r="H96" i="46"/>
  <c r="H95" i="46"/>
  <c r="H94" i="46"/>
  <c r="N26" i="15"/>
  <c r="F17" i="22"/>
  <c r="H14" i="22"/>
  <c r="H15" i="22"/>
  <c r="G19" i="22"/>
  <c r="H19" i="22"/>
  <c r="F13" i="22"/>
  <c r="B15" i="22"/>
  <c r="C15" i="22"/>
  <c r="D15" i="22"/>
  <c r="F16" i="22"/>
  <c r="B18" i="22"/>
  <c r="C18" i="22"/>
  <c r="D18" i="22"/>
  <c r="G8" i="22"/>
  <c r="H8" i="22"/>
  <c r="I8" i="22"/>
  <c r="E8" i="22"/>
  <c r="E20" i="22"/>
  <c r="B8" i="22"/>
  <c r="L11" i="22"/>
  <c r="L18" i="22"/>
  <c r="L9" i="22"/>
  <c r="L14" i="22"/>
  <c r="L16" i="22"/>
  <c r="L17" i="22"/>
  <c r="L12" i="22"/>
  <c r="L10" i="22"/>
  <c r="L13" i="22"/>
  <c r="L19" i="22"/>
  <c r="L15" i="22"/>
  <c r="G20" i="22"/>
  <c r="G23" i="22"/>
  <c r="F63" i="22"/>
  <c r="K23" i="22"/>
  <c r="B20" i="22"/>
  <c r="B35" i="22"/>
  <c r="B69" i="22"/>
  <c r="B91" i="22"/>
  <c r="H20" i="22"/>
  <c r="H35" i="22"/>
  <c r="I20" i="22"/>
  <c r="J8" i="22"/>
  <c r="F8" i="22"/>
  <c r="F20" i="22"/>
  <c r="F35" i="22"/>
  <c r="F69" i="22"/>
  <c r="E23" i="22"/>
  <c r="D63" i="22"/>
  <c r="E96" i="46"/>
  <c r="E95" i="46"/>
  <c r="E94" i="46"/>
  <c r="C8" i="22"/>
  <c r="B93" i="22"/>
  <c r="F96" i="46"/>
  <c r="F95" i="46"/>
  <c r="F94" i="46"/>
  <c r="C20" i="22"/>
  <c r="D8" i="22"/>
  <c r="D20" i="22"/>
  <c r="D35" i="22"/>
  <c r="D69" i="22"/>
  <c r="J20" i="22"/>
  <c r="J35" i="22"/>
  <c r="I23" i="22"/>
  <c r="G96" i="46"/>
  <c r="G95" i="46"/>
  <c r="G94" i="46"/>
  <c r="F91" i="22"/>
  <c r="D50" i="40"/>
  <c r="B97" i="22"/>
  <c r="L20" i="22"/>
  <c r="L8" i="22"/>
  <c r="C23" i="22"/>
  <c r="B63" i="22"/>
  <c r="D96" i="46"/>
  <c r="D95" i="46"/>
  <c r="D94" i="46"/>
  <c r="B50" i="40"/>
  <c r="D128" i="46"/>
  <c r="D127" i="46"/>
  <c r="D87" i="46"/>
  <c r="D91" i="22"/>
  <c r="D97" i="22"/>
  <c r="F97" i="22"/>
  <c r="F128" i="46"/>
  <c r="F127" i="46"/>
  <c r="F87" i="46"/>
  <c r="E128" i="46"/>
  <c r="E127" i="46"/>
  <c r="E87" i="46"/>
  <c r="E7" i="46"/>
  <c r="E212" i="46"/>
  <c r="E214" i="46"/>
  <c r="B103" i="16"/>
  <c r="D7" i="46"/>
  <c r="D212" i="46"/>
  <c r="D214" i="46"/>
  <c r="D93" i="22"/>
  <c r="F93" i="22"/>
  <c r="C50" i="40"/>
  <c r="D103" i="16"/>
  <c r="E103" i="16"/>
  <c r="F7" i="46"/>
  <c r="F212" i="46"/>
  <c r="F214" i="46"/>
  <c r="V14" i="11"/>
  <c r="F15" i="18"/>
  <c r="F15" i="16"/>
  <c r="V18" i="11"/>
  <c r="U31" i="11"/>
  <c r="V31" i="11"/>
  <c r="F16" i="18"/>
  <c r="F18" i="16"/>
  <c r="F76" i="16"/>
  <c r="F17" i="16"/>
  <c r="V26" i="11"/>
  <c r="F47" i="16"/>
  <c r="F49" i="16"/>
  <c r="F51" i="16"/>
  <c r="E9" i="51"/>
  <c r="E11" i="51"/>
  <c r="I38" i="22"/>
  <c r="H38" i="22"/>
  <c r="V36" i="11"/>
  <c r="F14" i="18"/>
  <c r="F76" i="18"/>
  <c r="F19" i="16"/>
  <c r="F21" i="16"/>
  <c r="F75" i="16"/>
  <c r="E57" i="40"/>
  <c r="E58" i="40"/>
  <c r="E48" i="40"/>
  <c r="H40" i="22"/>
  <c r="V54" i="11"/>
  <c r="F52" i="16"/>
  <c r="F56" i="16"/>
  <c r="F59" i="16"/>
  <c r="F63" i="16"/>
  <c r="I40" i="22"/>
  <c r="I53" i="22"/>
  <c r="E12" i="51"/>
  <c r="E16" i="51"/>
  <c r="E26" i="51"/>
  <c r="F24" i="16"/>
  <c r="F77" i="16"/>
  <c r="F33" i="18"/>
  <c r="U113" i="11"/>
  <c r="V113" i="11"/>
  <c r="I56" i="22"/>
  <c r="G181" i="46"/>
  <c r="F30" i="16"/>
  <c r="F78" i="18"/>
  <c r="F77" i="18"/>
  <c r="V118" i="11"/>
  <c r="H52" i="22"/>
  <c r="H56" i="22"/>
  <c r="G199" i="46"/>
  <c r="F68" i="16"/>
  <c r="F70" i="16"/>
  <c r="H53" i="22"/>
  <c r="H67" i="22"/>
  <c r="H69" i="22"/>
  <c r="G162" i="46"/>
  <c r="F81" i="16"/>
  <c r="F72" i="16"/>
  <c r="H63" i="22"/>
  <c r="E31" i="51"/>
  <c r="E32" i="51"/>
  <c r="V120" i="11"/>
  <c r="V122" i="11"/>
  <c r="F31" i="16"/>
  <c r="F81" i="18"/>
  <c r="H91" i="22"/>
  <c r="E34" i="51"/>
  <c r="E36" i="51"/>
  <c r="G155" i="46"/>
  <c r="E52" i="40"/>
  <c r="F64" i="16"/>
  <c r="F65" i="16"/>
  <c r="F32" i="16"/>
  <c r="E50" i="40"/>
  <c r="H97" i="22"/>
  <c r="G128" i="46"/>
  <c r="G127" i="46"/>
  <c r="G87" i="46"/>
  <c r="H93" i="22"/>
  <c r="F79" i="16"/>
  <c r="E60" i="40"/>
  <c r="F73" i="16"/>
  <c r="H154" i="46"/>
  <c r="G135" i="46"/>
  <c r="G134" i="46"/>
  <c r="G213" i="46"/>
  <c r="F99" i="16"/>
  <c r="F103" i="16"/>
  <c r="G7" i="46"/>
  <c r="G212" i="46"/>
  <c r="G214" i="46"/>
  <c r="Z14" i="11"/>
  <c r="Z18" i="11"/>
  <c r="G15" i="18"/>
  <c r="Z26" i="11"/>
  <c r="G47" i="16"/>
  <c r="G49" i="16"/>
  <c r="G51" i="16"/>
  <c r="Y31" i="11"/>
  <c r="Z31" i="11"/>
  <c r="K38" i="22"/>
  <c r="J38" i="22"/>
  <c r="F9" i="51"/>
  <c r="F11" i="51"/>
  <c r="G15" i="16"/>
  <c r="G16" i="18"/>
  <c r="Z36" i="11"/>
  <c r="Z54" i="11"/>
  <c r="G17" i="16"/>
  <c r="G76" i="16"/>
  <c r="K40" i="22"/>
  <c r="K53" i="22"/>
  <c r="G52" i="16"/>
  <c r="G56" i="16"/>
  <c r="G59" i="16"/>
  <c r="G63" i="16"/>
  <c r="J40" i="22"/>
  <c r="F12" i="51"/>
  <c r="F16" i="51"/>
  <c r="F26" i="51"/>
  <c r="G18" i="16"/>
  <c r="G19" i="16"/>
  <c r="G21" i="16"/>
  <c r="G14" i="18"/>
  <c r="F48" i="40"/>
  <c r="F58" i="40"/>
  <c r="K56" i="22"/>
  <c r="H181" i="46"/>
  <c r="G24" i="16"/>
  <c r="G77" i="16"/>
  <c r="G75" i="16"/>
  <c r="F57" i="40"/>
  <c r="G76" i="18"/>
  <c r="Y113" i="11"/>
  <c r="Z113" i="11"/>
  <c r="G33" i="18"/>
  <c r="G30" i="16"/>
  <c r="Z118" i="11"/>
  <c r="J52" i="22"/>
  <c r="J56" i="22"/>
  <c r="G68" i="16"/>
  <c r="G70" i="16"/>
  <c r="H199" i="46"/>
  <c r="H162" i="46"/>
  <c r="G78" i="18"/>
  <c r="G77" i="18"/>
  <c r="J53" i="22"/>
  <c r="J67" i="22"/>
  <c r="J69" i="22"/>
  <c r="G31" i="16"/>
  <c r="G81" i="18"/>
  <c r="J63" i="22"/>
  <c r="G81" i="16"/>
  <c r="G72" i="16"/>
  <c r="Z120" i="11"/>
  <c r="Z122" i="11"/>
  <c r="F31" i="51"/>
  <c r="F32" i="51"/>
  <c r="J91" i="22"/>
  <c r="F34" i="51"/>
  <c r="F36" i="51"/>
  <c r="F52" i="40"/>
  <c r="H155" i="46"/>
  <c r="H135" i="46"/>
  <c r="H134" i="46"/>
  <c r="H213" i="46"/>
  <c r="G64" i="16"/>
  <c r="G65" i="16"/>
  <c r="G32" i="16"/>
  <c r="J93" i="22"/>
  <c r="F50" i="40"/>
  <c r="J97" i="22"/>
  <c r="H128" i="46"/>
  <c r="G79" i="16"/>
  <c r="F60" i="40"/>
  <c r="G99" i="16"/>
  <c r="G73" i="16"/>
  <c r="H127" i="46"/>
  <c r="H87" i="46"/>
  <c r="H7" i="46"/>
  <c r="H212" i="46"/>
  <c r="H214" i="46"/>
  <c r="G103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Mauro Juvara</author>
    <author>Mauro</author>
  </authors>
  <commentList>
    <comment ref="D5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Mauro Juvara:</t>
        </r>
        <r>
          <rPr>
            <sz val="9"/>
            <color indexed="81"/>
            <rFont val="Tahoma"/>
            <family val="2"/>
          </rPr>
          <t xml:space="preserve">
Il codice può andare da 6 a 22 e corrisponde alla relativa voce della sezione B) del conto economico.</t>
        </r>
      </text>
    </comment>
    <comment ref="C87" authorId="1" shapeId="0" xr:uid="{92852BF5-30F0-43AE-B39E-C20525A2991A}">
      <text>
        <r>
          <rPr>
            <b/>
            <sz val="9"/>
            <color indexed="81"/>
            <rFont val="Tahoma"/>
            <family val="2"/>
          </rPr>
          <t>Mauro:</t>
        </r>
        <r>
          <rPr>
            <sz val="9"/>
            <color indexed="81"/>
            <rFont val="Tahoma"/>
            <family val="2"/>
          </rPr>
          <t xml:space="preserve">
Riga collegata ad altre righe, ad altri fogli, ad altri file. Non toccare</t>
        </r>
      </text>
    </comment>
    <comment ref="C113" authorId="1" shapeId="0" xr:uid="{AAE8D61D-D185-48EF-BF5E-DE4E18BCDA96}">
      <text>
        <r>
          <rPr>
            <b/>
            <sz val="9"/>
            <color indexed="81"/>
            <rFont val="Tahoma"/>
            <family val="2"/>
          </rPr>
          <t>Mauro:</t>
        </r>
        <r>
          <rPr>
            <sz val="9"/>
            <color indexed="81"/>
            <rFont val="Tahoma"/>
            <family val="2"/>
          </rPr>
          <t xml:space="preserve">
Riga collegata ad altre righe, ad altri fogli, ad altri file. Non toccare</t>
        </r>
      </text>
    </comment>
    <comment ref="C114" authorId="1" shapeId="0" xr:uid="{2583D1EE-36DD-4F7F-89B5-95B277516577}">
      <text>
        <r>
          <rPr>
            <b/>
            <sz val="9"/>
            <color indexed="81"/>
            <rFont val="Tahoma"/>
            <family val="2"/>
          </rPr>
          <t>Mauro:</t>
        </r>
        <r>
          <rPr>
            <sz val="9"/>
            <color indexed="81"/>
            <rFont val="Tahoma"/>
            <family val="2"/>
          </rPr>
          <t xml:space="preserve">
Riga collegata ad altre righe, ad altri fogli, ad altri file. Non toccare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ssione2" type="4" refreshedVersion="3" background="1">
    <webPr sourceData="1" parsePre="1" consecutive="1" xl2000="1" url="http://finanza-mercati.ilsole24ore.com/fcxp?page=BodyListinoTitoliStCCT&amp;cmd=framexplane&amp;chId=70&amp;RatPageName=N24:finanza-e-mercati:reddito-fisso-e-tassi:titoli-di-stato:cct&amp;RatHier1=N24,finanza-e-mercati,reddito-fisso-e-tassi,titoli-di-stato,cct&amp;RatType=N24:finanza-e-mercati:default&amp;RatEvents=" htmlTables="1">
      <tables count="1">
        <s v="PRFX_TITOLISTATOCED"/>
      </tables>
    </webPr>
  </connection>
  <connection id="2" xr16:uid="{00000000-0015-0000-FFFF-FFFF01000000}" name="Connessione3" type="4" refreshedVersion="3" background="1" saveData="1">
    <webPr sourceData="1" parsePre="1" consecutive="1" xl2000="1" url="http://finanza-mercati.ilsole24ore.com/fcxp?page=BodyListinoTitoliStCCT&amp;cmd=framexplane&amp;chId=70&amp;RatPageName=N24:finanza-e-mercati:reddito-fisso-e-tassi:titoli-di-stato:cct&amp;RatHier1=N24,finanza-e-mercati,reddito-fisso-e-tassi,titoli-di-stato,cct&amp;RatType=N24:finanza-e-mercati:default&amp;RatEvents=" htmlTables="1">
      <tables count="1">
        <s v="PRFX_TITOLISTATOCED"/>
      </tables>
    </webPr>
  </connection>
  <connection id="3" xr16:uid="{00000000-0015-0000-FFFF-FFFF02000000}" name="Connessione4" type="4" refreshedVersion="3" background="1">
    <webPr sourceData="1" parsePre="1" consecutive="1" xl2000="1" url="http://finanza-mercati.ilsole24ore.com/fondi-ed-etf/fondi-italux/fondi-italux.php" htmlTables="1">
      <tables count="1">
        <x v="4"/>
      </tables>
    </webPr>
  </connection>
</connections>
</file>

<file path=xl/sharedStrings.xml><?xml version="1.0" encoding="utf-8"?>
<sst xmlns="http://schemas.openxmlformats.org/spreadsheetml/2006/main" count="2065" uniqueCount="648">
  <si>
    <t>Budget e Business Plan</t>
  </si>
  <si>
    <t>Company:</t>
  </si>
  <si>
    <t>Trovato 1929</t>
  </si>
  <si>
    <t>First Year</t>
  </si>
  <si>
    <t>This Format is © CentoCinquanta S.r.l.</t>
  </si>
  <si>
    <t>Controll Panel</t>
  </si>
  <si>
    <t>Data sheet</t>
  </si>
  <si>
    <t>DSO</t>
  </si>
  <si>
    <t>Opening days</t>
  </si>
  <si>
    <t>Opening hours</t>
  </si>
  <si>
    <t>07.00 Am|11.00 Pm - 16 Hours</t>
  </si>
  <si>
    <t>Before Lunch: 5</t>
  </si>
  <si>
    <t>During Lunch: 3</t>
  </si>
  <si>
    <t>After Lunch: 4</t>
  </si>
  <si>
    <t>During Dinner: 4</t>
  </si>
  <si>
    <t>Average number of entries per hour before lunch</t>
  </si>
  <si>
    <t>Average number of entries per hour during lunch</t>
  </si>
  <si>
    <t>Average number of entries per hour after lunch</t>
  </si>
  <si>
    <t>Average number of entries per hour during dinner</t>
  </si>
  <si>
    <t>Average receipt before lunch</t>
  </si>
  <si>
    <t>Average receipt during lunch</t>
  </si>
  <si>
    <t>Average receipt after lunch</t>
  </si>
  <si>
    <t>Average receipt during dinner</t>
  </si>
  <si>
    <t>Vat</t>
  </si>
  <si>
    <t>Average number of entries per hour per day</t>
  </si>
  <si>
    <r>
      <rPr>
        <b/>
        <sz val="8"/>
        <rFont val="Verdana"/>
        <family val="2"/>
      </rPr>
      <t>Bond</t>
    </r>
    <r>
      <rPr>
        <sz val="8"/>
        <rFont val="Verdana"/>
        <family val="2"/>
      </rPr>
      <t xml:space="preserve"> - Interest rate</t>
    </r>
  </si>
  <si>
    <t>//</t>
  </si>
  <si>
    <r>
      <rPr>
        <b/>
        <sz val="8"/>
        <rFont val="Verdana"/>
        <family val="2"/>
      </rPr>
      <t xml:space="preserve">Bond </t>
    </r>
    <r>
      <rPr>
        <sz val="8"/>
        <rFont val="Verdana"/>
        <family val="2"/>
      </rPr>
      <t>- Duration</t>
    </r>
  </si>
  <si>
    <t>Franchising fees</t>
  </si>
  <si>
    <t>Growth trend (entriances)</t>
  </si>
  <si>
    <t>Growth trend (prices)</t>
  </si>
  <si>
    <t>Tax rate</t>
  </si>
  <si>
    <t>Currency</t>
  </si>
  <si>
    <t>€</t>
  </si>
  <si>
    <t>Square meters (sales area)</t>
  </si>
  <si>
    <t>Renovation and set-up costs</t>
  </si>
  <si>
    <t>Target COGS</t>
  </si>
  <si>
    <t>Rvenues</t>
  </si>
  <si>
    <t>Gross Margin</t>
  </si>
  <si>
    <t>Cash Flow</t>
  </si>
  <si>
    <t>Profits</t>
  </si>
  <si>
    <t>Other data</t>
  </si>
  <si>
    <t>BEP</t>
  </si>
  <si>
    <t>Sales+Vat</t>
  </si>
  <si>
    <t>Variable costs</t>
  </si>
  <si>
    <t>Fixed costs</t>
  </si>
  <si>
    <t>EBITDA</t>
  </si>
  <si>
    <t>COGS</t>
  </si>
  <si>
    <t>Employees cost - Details</t>
  </si>
  <si>
    <t>Risorsa</t>
  </si>
  <si>
    <t>Progr</t>
  </si>
  <si>
    <t>Seniority</t>
  </si>
  <si>
    <t>Funzione</t>
  </si>
  <si>
    <t>Costo azienda base</t>
  </si>
  <si>
    <t>Store Manager</t>
  </si>
  <si>
    <t>Senior</t>
  </si>
  <si>
    <t>Management</t>
  </si>
  <si>
    <t>Waiter</t>
  </si>
  <si>
    <t>Junior</t>
  </si>
  <si>
    <t>Sales</t>
  </si>
  <si>
    <t>TBD</t>
  </si>
  <si>
    <t>Totale</t>
  </si>
  <si>
    <t>Revenues per year</t>
  </si>
  <si>
    <t>Revenues per year - Details</t>
  </si>
  <si>
    <t>Revenues before lunch</t>
  </si>
  <si>
    <t>Q</t>
  </si>
  <si>
    <t>AvP</t>
  </si>
  <si>
    <t>Total Revenues</t>
  </si>
  <si>
    <t>Δ €</t>
  </si>
  <si>
    <t>Δ %</t>
  </si>
  <si>
    <t>Revenues during lunch</t>
  </si>
  <si>
    <t>Revenues after lunch</t>
  </si>
  <si>
    <t>Revenues during dinner</t>
  </si>
  <si>
    <t>Clienti</t>
  </si>
  <si>
    <t>Prezzo medio</t>
  </si>
  <si>
    <t>Ricavi totali</t>
  </si>
  <si>
    <t>Altro</t>
  </si>
  <si>
    <t>Passaggi</t>
  </si>
  <si>
    <t>Scontrino medio</t>
  </si>
  <si>
    <t>Q Total</t>
  </si>
  <si>
    <t>Total</t>
  </si>
  <si>
    <t>Average Price</t>
  </si>
  <si>
    <t>VAT</t>
  </si>
  <si>
    <t>Percentage</t>
  </si>
  <si>
    <t>Revenues + VAT</t>
  </si>
  <si>
    <t>Giro d'Affari</t>
  </si>
  <si>
    <t>Budget</t>
  </si>
  <si>
    <t>Monthly analisys</t>
  </si>
  <si>
    <t>View</t>
  </si>
  <si>
    <t>Ricavi generati</t>
  </si>
  <si>
    <t>Historical sales trend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</si>
  <si>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</si>
  <si>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</si>
  <si>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</si>
  <si>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</si>
  <si>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</si>
  <si>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</si>
  <si>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</si>
  <si>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</si>
  <si>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</si>
  <si>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</si>
  <si>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</si>
  <si>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</si>
  <si>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Sum</t>
  </si>
  <si>
    <t>Check</t>
  </si>
  <si>
    <t>Average</t>
  </si>
  <si>
    <t>Varianza</t>
  </si>
  <si>
    <t>Capex</t>
  </si>
  <si>
    <t>Macro</t>
  </si>
  <si>
    <t>Details</t>
  </si>
  <si>
    <t>A/L</t>
  </si>
  <si>
    <t>Tot. Am.</t>
  </si>
  <si>
    <t>CdC</t>
  </si>
  <si>
    <t>Iva %</t>
  </si>
  <si>
    <t>Iva €</t>
  </si>
  <si>
    <t>Years Amm.</t>
  </si>
  <si>
    <t>Intangible assets</t>
  </si>
  <si>
    <t>Amortization</t>
  </si>
  <si>
    <t>VAT €</t>
  </si>
  <si>
    <t>Depreciation fund</t>
  </si>
  <si>
    <t>Installation costs</t>
  </si>
  <si>
    <t>Deposits</t>
  </si>
  <si>
    <t>A</t>
  </si>
  <si>
    <t>ND</t>
  </si>
  <si>
    <t>Others</t>
  </si>
  <si>
    <t>Point of sale renovation costs</t>
  </si>
  <si>
    <t>Turnkey local renovation</t>
  </si>
  <si>
    <t>Ricerca e Sviluppo</t>
  </si>
  <si>
    <t>Ricerca</t>
  </si>
  <si>
    <t>Sviluppo</t>
  </si>
  <si>
    <t>Varie</t>
  </si>
  <si>
    <t>Pubblicità</t>
  </si>
  <si>
    <t>Marketing</t>
  </si>
  <si>
    <t>Diritti di brevetto e opere di ingegno</t>
  </si>
  <si>
    <t>Diritti di brevetto</t>
  </si>
  <si>
    <t>Concessions, licenses, trademarks</t>
  </si>
  <si>
    <t>Franchising Fee</t>
  </si>
  <si>
    <t>Licenses</t>
  </si>
  <si>
    <t>Trademarks</t>
  </si>
  <si>
    <t>Sofware IT</t>
  </si>
  <si>
    <t>Avviamento</t>
  </si>
  <si>
    <t>Acquisti Rami o Aziende</t>
  </si>
  <si>
    <t>Immobilizzazioni in corso e acconti</t>
  </si>
  <si>
    <t>Altre Immobilizzazioni Immateriali</t>
  </si>
  <si>
    <t>Immobilizzazioni Materiali</t>
  </si>
  <si>
    <t>Ammortamenti</t>
  </si>
  <si>
    <t>Residui</t>
  </si>
  <si>
    <t>Terreni e Fabbricati</t>
  </si>
  <si>
    <t>Terreni</t>
  </si>
  <si>
    <t>Fabbricati Industriali</t>
  </si>
  <si>
    <t>Impianti e Macchinari</t>
  </si>
  <si>
    <t>Stampi</t>
  </si>
  <si>
    <t>L</t>
  </si>
  <si>
    <t>Attrezzature IT</t>
  </si>
  <si>
    <t>Server</t>
  </si>
  <si>
    <t>PC</t>
  </si>
  <si>
    <t>PC Portatili</t>
  </si>
  <si>
    <t>Stampanti</t>
  </si>
  <si>
    <t>Fotocopiatrici</t>
  </si>
  <si>
    <t>Attrezzature Industriali e Commerciali</t>
  </si>
  <si>
    <t>Mobili e Arredamenti</t>
  </si>
  <si>
    <t>Mobili d'ufficio</t>
  </si>
  <si>
    <t>Altre Immobilizzazioni Materiali</t>
  </si>
  <si>
    <t>Totale Immobilizzazioni Materiali</t>
  </si>
  <si>
    <t>Immobilizzazioni Finanziarie</t>
  </si>
  <si>
    <t>Partecipazioni</t>
  </si>
  <si>
    <t>Controllate</t>
  </si>
  <si>
    <t>Collegate</t>
  </si>
  <si>
    <t>Controllanti</t>
  </si>
  <si>
    <t>Altre</t>
  </si>
  <si>
    <t>Crediti</t>
  </si>
  <si>
    <t>Azioni Proprie</t>
  </si>
  <si>
    <t>Valore nominale</t>
  </si>
  <si>
    <t>Differenza dal valore nominale</t>
  </si>
  <si>
    <t>Totale Immobilizzazioni Finanziarie</t>
  </si>
  <si>
    <t>Totale immobilizzazioni</t>
  </si>
  <si>
    <t>Totals</t>
  </si>
  <si>
    <t>Coverage of financial needs</t>
  </si>
  <si>
    <t>Value</t>
  </si>
  <si>
    <t>Percentuale</t>
  </si>
  <si>
    <t>Equity</t>
  </si>
  <si>
    <t>Mortgages</t>
  </si>
  <si>
    <t>Venture loans</t>
  </si>
  <si>
    <t>Leasing</t>
  </si>
  <si>
    <t>Cash flow</t>
  </si>
  <si>
    <t>Strumenti di copertura del fabbisogno finanziario</t>
  </si>
  <si>
    <t>Intervention to be carried out</t>
  </si>
  <si>
    <t>Units (M2)</t>
  </si>
  <si>
    <t>Unit Prices</t>
  </si>
  <si>
    <t>Needed</t>
  </si>
  <si>
    <t>Electrical system</t>
  </si>
  <si>
    <t>X</t>
  </si>
  <si>
    <t>Waterworks</t>
  </si>
  <si>
    <t>Air conditioning system, ducting, UI-UE installation</t>
  </si>
  <si>
    <t>Demolitions</t>
  </si>
  <si>
    <t>Plasterboard walls and false ceilings insulated with high density rock wool</t>
  </si>
  <si>
    <t>Preparation and painting</t>
  </si>
  <si>
    <t>Walls, screeds and floors, coverings</t>
  </si>
  <si>
    <t>Sanitary supplies and coverings</t>
  </si>
  <si>
    <t>Electrical panels and lighting fixtures</t>
  </si>
  <si>
    <t>Air conditioners</t>
  </si>
  <si>
    <t>Furniture and equipment</t>
  </si>
  <si>
    <t>Signs, digital panels, multimedia monitors</t>
  </si>
  <si>
    <t>Video surveillance</t>
  </si>
  <si>
    <t>Fixtures</t>
  </si>
  <si>
    <t>Architectural design</t>
  </si>
  <si>
    <t>Plant design</t>
  </si>
  <si>
    <t>General management costs</t>
  </si>
  <si>
    <t>Conto</t>
  </si>
  <si>
    <t>Cod.</t>
  </si>
  <si>
    <t>Quantità</t>
  </si>
  <si>
    <t>Unitari</t>
  </si>
  <si>
    <t>Totali</t>
  </si>
  <si>
    <t>Unit</t>
  </si>
  <si>
    <t>Final balance</t>
  </si>
  <si>
    <t>F/V</t>
  </si>
  <si>
    <t>DPO</t>
  </si>
  <si>
    <t>Ξ</t>
  </si>
  <si>
    <t>Raw materials and finished products</t>
  </si>
  <si>
    <t>V</t>
  </si>
  <si>
    <t>Stock PF</t>
  </si>
  <si>
    <t>Others and Disposable</t>
  </si>
  <si>
    <t>Disposable products</t>
  </si>
  <si>
    <t>Sales and Management costs</t>
  </si>
  <si>
    <t>Sales costs</t>
  </si>
  <si>
    <t>Warehousing</t>
  </si>
  <si>
    <t>Freight transport</t>
  </si>
  <si>
    <t>Staff Training</t>
  </si>
  <si>
    <t>F</t>
  </si>
  <si>
    <t>Equipment maintenance</t>
  </si>
  <si>
    <t>Utilities</t>
  </si>
  <si>
    <t>Energy</t>
  </si>
  <si>
    <t>Water</t>
  </si>
  <si>
    <t>Waste</t>
  </si>
  <si>
    <t>Social media</t>
  </si>
  <si>
    <t>Marketing (Others)</t>
  </si>
  <si>
    <t>Banking costs</t>
  </si>
  <si>
    <t>Banking Costs</t>
  </si>
  <si>
    <t>General services</t>
  </si>
  <si>
    <t>General costs</t>
  </si>
  <si>
    <t>Software licenses</t>
  </si>
  <si>
    <t>Insurances</t>
  </si>
  <si>
    <t>Consultants</t>
  </si>
  <si>
    <t>Financial advisors</t>
  </si>
  <si>
    <t>Lawyers</t>
  </si>
  <si>
    <t>Third party assets</t>
  </si>
  <si>
    <t>Rental fees</t>
  </si>
  <si>
    <t>Franchising Fees</t>
  </si>
  <si>
    <t>Others general costs</t>
  </si>
  <si>
    <t>MBO</t>
  </si>
  <si>
    <t>Employees</t>
  </si>
  <si>
    <t>Workers</t>
  </si>
  <si>
    <t>Net wages</t>
  </si>
  <si>
    <t>9.1</t>
  </si>
  <si>
    <t>Social Security</t>
  </si>
  <si>
    <t>9.2</t>
  </si>
  <si>
    <t>Other</t>
  </si>
  <si>
    <t>9.3</t>
  </si>
  <si>
    <t>Depreciation and amortization</t>
  </si>
  <si>
    <t>10.1</t>
  </si>
  <si>
    <t>Tangible fixed assets</t>
  </si>
  <si>
    <t>10.2</t>
  </si>
  <si>
    <t>Intangible assets from inv. Sheet</t>
  </si>
  <si>
    <t>Tangible fixed assets from inv. Sheet</t>
  </si>
  <si>
    <t>Depreciation</t>
  </si>
  <si>
    <t>10.3</t>
  </si>
  <si>
    <t>Risk provision</t>
  </si>
  <si>
    <t>Financials and taxation</t>
  </si>
  <si>
    <t>Guarantees</t>
  </si>
  <si>
    <t>17.4</t>
  </si>
  <si>
    <t>Interest on mortgages</t>
  </si>
  <si>
    <t>Taxes</t>
  </si>
  <si>
    <t>22.1</t>
  </si>
  <si>
    <t>Commissioni POS</t>
  </si>
  <si>
    <t>Others financials</t>
  </si>
  <si>
    <t>Break even point Analysis</t>
  </si>
  <si>
    <t>Year</t>
  </si>
  <si>
    <t>Analisi dei dati</t>
  </si>
  <si>
    <t>Fixed Costs</t>
  </si>
  <si>
    <t>Variable Costs</t>
  </si>
  <si>
    <t>Total Costs</t>
  </si>
  <si>
    <t>Average sales price</t>
  </si>
  <si>
    <t>Single unit variable costs</t>
  </si>
  <si>
    <t>Q BEP</t>
  </si>
  <si>
    <t>Costs</t>
  </si>
  <si>
    <t>Revenues</t>
  </si>
  <si>
    <t>Ammortizations</t>
  </si>
  <si>
    <t>Quantity</t>
  </si>
  <si>
    <t>Si</t>
  </si>
  <si>
    <t>Produced</t>
  </si>
  <si>
    <t>Scenario</t>
  </si>
  <si>
    <t>Quantity (l)</t>
  </si>
  <si>
    <t>Profit</t>
  </si>
  <si>
    <t>P&amp;L</t>
  </si>
  <si>
    <t>Years</t>
  </si>
  <si>
    <t>Balance sheet - 2425 c.c.</t>
  </si>
  <si>
    <t>Code</t>
  </si>
  <si>
    <t>Valori</t>
  </si>
  <si>
    <t>A) Valore della produzione</t>
  </si>
  <si>
    <t xml:space="preserve">    1) Ricavi delle vendite e delle prestazioni</t>
  </si>
  <si>
    <t xml:space="preserve">    2) Variazione rimanenze prodotti in corso di lavor., semilavorati e finiti</t>
  </si>
  <si>
    <t xml:space="preserve">    3) Variazione dei lavori in corso su ordinazione</t>
  </si>
  <si>
    <t xml:space="preserve">    4) Incrementi di immobilizzazioni per lavori interni</t>
  </si>
  <si>
    <t xml:space="preserve">    5) Altri ricavi e proventi:</t>
  </si>
  <si>
    <t>5.1</t>
  </si>
  <si>
    <t xml:space="preserve">        - Vari</t>
  </si>
  <si>
    <t>5.2</t>
  </si>
  <si>
    <t xml:space="preserve">        - Contributi in conto esercizio</t>
  </si>
  <si>
    <t>B</t>
  </si>
  <si>
    <t>B) Costi della produzione</t>
  </si>
  <si>
    <t xml:space="preserve">    6) Acquisti materie prime, sussidiarie, di consumo e di merci</t>
  </si>
  <si>
    <t xml:space="preserve">    7) Spese per prestazioni di servizi</t>
  </si>
  <si>
    <t xml:space="preserve">    8) Spese per godimento di beni di terzi</t>
  </si>
  <si>
    <t xml:space="preserve">    9) Costi del personale</t>
  </si>
  <si>
    <t xml:space="preserve">        a) Salari, stipendi</t>
  </si>
  <si>
    <t xml:space="preserve">        b) Oneri sociali</t>
  </si>
  <si>
    <t xml:space="preserve">        c) Trattamento Fine Rapporto</t>
  </si>
  <si>
    <t>9.4</t>
  </si>
  <si>
    <t xml:space="preserve">        d) Trattamento di quiescenza e simili</t>
  </si>
  <si>
    <t>9.5</t>
  </si>
  <si>
    <t xml:space="preserve">        e) Altri costi</t>
  </si>
  <si>
    <t xml:space="preserve">    10) Ammortamenti e svalutazioni</t>
  </si>
  <si>
    <t xml:space="preserve">        a) Ammortamento delle immobilizzazioni immateriali</t>
  </si>
  <si>
    <t xml:space="preserve">        b) Ammortamento delle immobilizzazioni materiali</t>
  </si>
  <si>
    <t xml:space="preserve">        c) Altre svalutazioni delle immobilizzazioni</t>
  </si>
  <si>
    <t>10.4</t>
  </si>
  <si>
    <t xml:space="preserve">        d)  Svalutazione cred. del circol. e delle disponibilità liquide</t>
  </si>
  <si>
    <t xml:space="preserve">    11) Variazioni rimanenze materie prime, sussid., di consumo e merci</t>
  </si>
  <si>
    <t xml:space="preserve">    12) Accantonamenti per rischi</t>
  </si>
  <si>
    <t xml:space="preserve">    13) Altri accantonamenti</t>
  </si>
  <si>
    <t xml:space="preserve">    14) Oneri diversi di gestione</t>
  </si>
  <si>
    <t>-</t>
  </si>
  <si>
    <t>Differenza tra Valore e Costo della Produzione</t>
  </si>
  <si>
    <t>C</t>
  </si>
  <si>
    <t>C) Proventi e oneri finanziari</t>
  </si>
  <si>
    <t xml:space="preserve">    15) Proventi da partecipazioni</t>
  </si>
  <si>
    <t>15.1</t>
  </si>
  <si>
    <t xml:space="preserve">        - Imprese Controllate</t>
  </si>
  <si>
    <t>15.2</t>
  </si>
  <si>
    <t xml:space="preserve">        - Imprese Collegate</t>
  </si>
  <si>
    <t>15.3</t>
  </si>
  <si>
    <t xml:space="preserve">        - Altri</t>
  </si>
  <si>
    <t xml:space="preserve">    16) Altri proventi finanziari</t>
  </si>
  <si>
    <t>16.1</t>
  </si>
  <si>
    <t xml:space="preserve">        a) da crediti iscritti nelle immobilizzazioni</t>
  </si>
  <si>
    <t>16.1.1</t>
  </si>
  <si>
    <t xml:space="preserve">            - da imprese controllate</t>
  </si>
  <si>
    <t>16.1.2</t>
  </si>
  <si>
    <t xml:space="preserve">            - da imprese collegate</t>
  </si>
  <si>
    <t>16.1.3</t>
  </si>
  <si>
    <t xml:space="preserve">            - da controllanti</t>
  </si>
  <si>
    <t>16.1.4</t>
  </si>
  <si>
    <t xml:space="preserve">            - altri</t>
  </si>
  <si>
    <t>16.2</t>
  </si>
  <si>
    <t xml:space="preserve">        b) da titoli iscritti nelle immobilizzazioni</t>
  </si>
  <si>
    <t>16.3</t>
  </si>
  <si>
    <t xml:space="preserve">        c) da titoli inscritti nell'attivo circolante</t>
  </si>
  <si>
    <t>16.4</t>
  </si>
  <si>
    <t xml:space="preserve">        d) proventi finanziari diversi dai precedenti:</t>
  </si>
  <si>
    <t>16.4.1</t>
  </si>
  <si>
    <t>16.4.2</t>
  </si>
  <si>
    <t>16.4.3</t>
  </si>
  <si>
    <t xml:space="preserve">            - da imprese controllanti</t>
  </si>
  <si>
    <t>16.4.4</t>
  </si>
  <si>
    <t xml:space="preserve">            - altri proventi finanziari</t>
  </si>
  <si>
    <t xml:space="preserve">    17) Interessi e altri oneri finanziari:</t>
  </si>
  <si>
    <t>17.1</t>
  </si>
  <si>
    <t xml:space="preserve">        - da imprese controllate</t>
  </si>
  <si>
    <t>17.2</t>
  </si>
  <si>
    <t xml:space="preserve">        - da imprese collegate</t>
  </si>
  <si>
    <t>17.3</t>
  </si>
  <si>
    <t xml:space="preserve">        - da imprese controllanti</t>
  </si>
  <si>
    <t xml:space="preserve">        - altri</t>
  </si>
  <si>
    <t>17.bis</t>
  </si>
  <si>
    <t xml:space="preserve">    17-bis) Utili e perdite su cambi</t>
  </si>
  <si>
    <t>D</t>
  </si>
  <si>
    <t>D) Rettifiche di valore di attività finanziarie</t>
  </si>
  <si>
    <t xml:space="preserve">    18) Rivalutazioni</t>
  </si>
  <si>
    <t>18.1</t>
  </si>
  <si>
    <t xml:space="preserve">        a) di partecipazioni</t>
  </si>
  <si>
    <t>18.2</t>
  </si>
  <si>
    <t xml:space="preserve">        b) di immobilizzazioni finanziarie</t>
  </si>
  <si>
    <t>18.3</t>
  </si>
  <si>
    <t xml:space="preserve">        c) di titoli inscritti nell'attivo circolante</t>
  </si>
  <si>
    <t xml:space="preserve">    19) Svalutazioni</t>
  </si>
  <si>
    <t>19.1</t>
  </si>
  <si>
    <t>19.2</t>
  </si>
  <si>
    <t>19.3</t>
  </si>
  <si>
    <t>E</t>
  </si>
  <si>
    <t>E) Proventi e oneri straordinari</t>
  </si>
  <si>
    <t xml:space="preserve">    20) Proventi straordinari</t>
  </si>
  <si>
    <t>20.1</t>
  </si>
  <si>
    <t xml:space="preserve">        - Plusvalenze non produzione</t>
  </si>
  <si>
    <t>20.2</t>
  </si>
  <si>
    <t xml:space="preserve">        - Varie</t>
  </si>
  <si>
    <t>20.3</t>
  </si>
  <si>
    <t xml:space="preserve">        - Proventi (Oneri) straordinari per redazione Bilancio in Euro (2 decimali)</t>
  </si>
  <si>
    <t xml:space="preserve">    21) Oneri straordinari</t>
  </si>
  <si>
    <t>21.1</t>
  </si>
  <si>
    <t xml:space="preserve">        - Minusvalenze non produzione</t>
  </si>
  <si>
    <t>21.2</t>
  </si>
  <si>
    <t xml:space="preserve">        - Imposte su esercizi precedenti</t>
  </si>
  <si>
    <t>21.3</t>
  </si>
  <si>
    <t>Risultato prima delle imposte</t>
  </si>
  <si>
    <t>22) Imposte sul reddito dell'esercizio</t>
  </si>
  <si>
    <t xml:space="preserve">    a) Imposte correnti</t>
  </si>
  <si>
    <t>22.2</t>
  </si>
  <si>
    <t xml:space="preserve">    b) Imposte differite</t>
  </si>
  <si>
    <t>22.3</t>
  </si>
  <si>
    <t xml:space="preserve">    b) Imposte anticipate</t>
  </si>
  <si>
    <t>23) Utile (Perdita) dell'esercizio</t>
  </si>
  <si>
    <t>Stato Patrimoniale ex 2424 c.c.</t>
  </si>
  <si>
    <t>XBRL</t>
  </si>
  <si>
    <t>Bilancio d'esercizio</t>
  </si>
  <si>
    <t>STATO PATRIMONIALE ATTIVO</t>
  </si>
  <si>
    <t>A) Crediti verso soci per versamenti ancora dovuti</t>
  </si>
  <si>
    <t xml:space="preserve">    Crediti verso soci già richiamati</t>
  </si>
  <si>
    <t>n</t>
  </si>
  <si>
    <t xml:space="preserve">    Crediti verso soci non ancora richiamati</t>
  </si>
  <si>
    <t>B) Immobilizzazioni</t>
  </si>
  <si>
    <t xml:space="preserve">    I. Immateriali</t>
  </si>
  <si>
    <t xml:space="preserve">        1) Costi di impianto e di ampliamento</t>
  </si>
  <si>
    <t xml:space="preserve">            Costo storico</t>
  </si>
  <si>
    <t xml:space="preserve">            (Fondo ammortamenti)</t>
  </si>
  <si>
    <t xml:space="preserve">            (Fondo svalutazioni)</t>
  </si>
  <si>
    <t xml:space="preserve">        2) Costi di sviluppo</t>
  </si>
  <si>
    <t xml:space="preserve">        3) Diritti di brevetto industriale e di utilizzo di opere dell'ingegno</t>
  </si>
  <si>
    <t xml:space="preserve">        4) Concessioni, licenze, marchi e diritti simili</t>
  </si>
  <si>
    <t xml:space="preserve">        5) Avviamento</t>
  </si>
  <si>
    <t xml:space="preserve">        6) Immobilizzazioni immateriali in corso e acconti</t>
  </si>
  <si>
    <t xml:space="preserve">        7) Altre</t>
  </si>
  <si>
    <t xml:space="preserve">    II. Materiali</t>
  </si>
  <si>
    <t xml:space="preserve">        1) Terreni e fabbricati</t>
  </si>
  <si>
    <t xml:space="preserve">        2) Impianti e macchinario</t>
  </si>
  <si>
    <t xml:space="preserve">        3) Attrezzature industriali e commerciali</t>
  </si>
  <si>
    <t xml:space="preserve">        4) Altri beni</t>
  </si>
  <si>
    <t xml:space="preserve">        5) Immobilizzazioni in corso e acconti</t>
  </si>
  <si>
    <t xml:space="preserve">        6) Concesse in Locazione Finanziaria</t>
  </si>
  <si>
    <t xml:space="preserve">    III. Finanziarie</t>
  </si>
  <si>
    <t xml:space="preserve">        1) Partecipazioni in:</t>
  </si>
  <si>
    <t xml:space="preserve">            a) imprese controllate</t>
  </si>
  <si>
    <t xml:space="preserve">            b) imprese collegate</t>
  </si>
  <si>
    <t xml:space="preserve">            c) imprese controllanti</t>
  </si>
  <si>
    <t xml:space="preserve">            d) imprese sottoposte al controllo delle controllanti</t>
  </si>
  <si>
    <t xml:space="preserve">            d)-bis altre imprese</t>
  </si>
  <si>
    <t xml:space="preserve">        2) Crediti</t>
  </si>
  <si>
    <t xml:space="preserve">            a) verso imprese controllate</t>
  </si>
  <si>
    <t xml:space="preserve">                - entro 12 mesi</t>
  </si>
  <si>
    <t xml:space="preserve">                - oltre 12 mesi</t>
  </si>
  <si>
    <t xml:space="preserve">            b) verso imprese collegate</t>
  </si>
  <si>
    <t xml:space="preserve">            c) verso imprese controllanti</t>
  </si>
  <si>
    <t xml:space="preserve">            d) verso imprese sottoposte al controllo delle controllanti</t>
  </si>
  <si>
    <t xml:space="preserve">            d-bis) verso altri</t>
  </si>
  <si>
    <t xml:space="preserve">        3) Altri titoli</t>
  </si>
  <si>
    <t xml:space="preserve">        4) Strumenti finanziari derivati attivi</t>
  </si>
  <si>
    <t>C) Attivo circolante</t>
  </si>
  <si>
    <t xml:space="preserve">    I. Rimanenze</t>
  </si>
  <si>
    <t xml:space="preserve">        1) Materie prime, sussidiarie e di consumo</t>
  </si>
  <si>
    <t xml:space="preserve">        2) Prodotti in corso di lavorazione e semilavorati</t>
  </si>
  <si>
    <t xml:space="preserve">        3) Lavori in corso su ordinazione</t>
  </si>
  <si>
    <t xml:space="preserve">        4) Prodotti finiti e merci</t>
  </si>
  <si>
    <t xml:space="preserve">        5) Acconti</t>
  </si>
  <si>
    <t xml:space="preserve">    II. Crediti</t>
  </si>
  <si>
    <t xml:space="preserve">        1) verso clienti</t>
  </si>
  <si>
    <t xml:space="preserve">            - entro 12 mesi</t>
  </si>
  <si>
    <t xml:space="preserve">            - oltre 12 mesi</t>
  </si>
  <si>
    <t xml:space="preserve">        2) verso imprese controllate</t>
  </si>
  <si>
    <t xml:space="preserve">        3) verso imprese collegate</t>
  </si>
  <si>
    <t xml:space="preserve">        4) verso controllanti</t>
  </si>
  <si>
    <t xml:space="preserve">        5) verso imprese sottoposte al controllo delle controllanti</t>
  </si>
  <si>
    <t xml:space="preserve">        5-bis) crediti tributari</t>
  </si>
  <si>
    <t xml:space="preserve">        5-ter) Imposte anticipate</t>
  </si>
  <si>
    <t xml:space="preserve">        5-quater) verso altri</t>
  </si>
  <si>
    <t xml:space="preserve">    III. Attività finanziarie che non costituiscono immobilizzazioni</t>
  </si>
  <si>
    <t xml:space="preserve">        1) Partecipazioni in imprese controllate</t>
  </si>
  <si>
    <t xml:space="preserve">        2) Partecipazioni in imprese collegate</t>
  </si>
  <si>
    <t xml:space="preserve">        3) Partecipazioni in imprese controllanti</t>
  </si>
  <si>
    <t xml:space="preserve">        3-bis) Partecipazioni in imprese sottoposte al controllo delle controllanti</t>
  </si>
  <si>
    <t xml:space="preserve">        4) Altre partecipazioni</t>
  </si>
  <si>
    <t xml:space="preserve">        5) Strumenti derivati finanziari attivi</t>
  </si>
  <si>
    <t xml:space="preserve">        6) Altri titoli</t>
  </si>
  <si>
    <t xml:space="preserve">    IV. Disponibilità liquide</t>
  </si>
  <si>
    <t xml:space="preserve">        1) Depositi bancari e postali</t>
  </si>
  <si>
    <t xml:space="preserve">        2) Assegni</t>
  </si>
  <si>
    <t xml:space="preserve">        3) Denaro e valori in cassa</t>
  </si>
  <si>
    <t>D) Ratei e risconti attivi</t>
  </si>
  <si>
    <t xml:space="preserve">    Disaggi su prestiti</t>
  </si>
  <si>
    <t xml:space="preserve">    Vari</t>
  </si>
  <si>
    <t>STATO PATRIMONIALE PASSIVO</t>
  </si>
  <si>
    <t>A) Patrimonio netto</t>
  </si>
  <si>
    <t xml:space="preserve">    I. Capitale</t>
  </si>
  <si>
    <t xml:space="preserve">    II. Riserva da sovrapprezzo delle azioni</t>
  </si>
  <si>
    <t xml:space="preserve">    III. Riserva di rivalutazione</t>
  </si>
  <si>
    <t xml:space="preserve">    IV. Riserva legale</t>
  </si>
  <si>
    <t xml:space="preserve">    V. Riserve statutarie</t>
  </si>
  <si>
    <t xml:space="preserve">    VI. Riserva per azioni proprie in portafoglio (positiva e negativa)</t>
  </si>
  <si>
    <t xml:space="preserve">    VII. Altre riserve, distintamente indicate:</t>
  </si>
  <si>
    <t xml:space="preserve">        - Riserva straordinaria</t>
  </si>
  <si>
    <t xml:space="preserve">        - Versamenti in conto capitale</t>
  </si>
  <si>
    <t xml:space="preserve">        - Fondo contributi in conto capitale art. 55 T.U.</t>
  </si>
  <si>
    <t xml:space="preserve">        - Riserva per ammortamenti anticipati art.67 T.U.</t>
  </si>
  <si>
    <t xml:space="preserve">        - Fondi riserve in sospensione di imposta</t>
  </si>
  <si>
    <t xml:space="preserve">        - Riserve da conferimenti agevolati (Legge 576/1975)</t>
  </si>
  <si>
    <t xml:space="preserve">        - Riserva per operazioni di copertura dei flussi finanziari attesi</t>
  </si>
  <si>
    <t xml:space="preserve">        - Fondi accantonamento plusvalenze (art.2 legge 168/1982)</t>
  </si>
  <si>
    <t xml:space="preserve">        - Riserva per oneri pluriennali capitalizzati</t>
  </si>
  <si>
    <t xml:space="preserve">        - Altre</t>
  </si>
  <si>
    <t xml:space="preserve">        - Riserva da redazione Bilancio in Euro (2 decimali)</t>
  </si>
  <si>
    <t xml:space="preserve">    VIII. Utili (perdite) portati a nuovo</t>
  </si>
  <si>
    <t xml:space="preserve">    IX. Utile (perdita) dell'esercizio</t>
  </si>
  <si>
    <t>B) Fondi per rischi e oneri</t>
  </si>
  <si>
    <t xml:space="preserve">    1) Fondo per trattamento di quiescenza e obblighi simili</t>
  </si>
  <si>
    <t xml:space="preserve">    2) Fondo per imposte, anche differite</t>
  </si>
  <si>
    <t xml:space="preserve">    3) Srumenti finanziari derivati passivi</t>
  </si>
  <si>
    <t xml:space="preserve">    4) Altri fondi</t>
  </si>
  <si>
    <t>C) Trattamento fine rapporto di lavoro subordinato</t>
  </si>
  <si>
    <t>D) Debiti</t>
  </si>
  <si>
    <t xml:space="preserve">    1) Obbligazioni non convertibili</t>
  </si>
  <si>
    <t xml:space="preserve">        - entro 12 mesi</t>
  </si>
  <si>
    <t xml:space="preserve">        - oltre 12 mesi</t>
  </si>
  <si>
    <t xml:space="preserve">    2) Obbligazioni convertibili</t>
  </si>
  <si>
    <t xml:space="preserve">    3) Debiti verso soci per finanziamenti</t>
  </si>
  <si>
    <t xml:space="preserve">    4) Debiti verso banche</t>
  </si>
  <si>
    <t xml:space="preserve">    5) Debiti verso altri finanziatori</t>
  </si>
  <si>
    <t xml:space="preserve">    6) Acconti</t>
  </si>
  <si>
    <t xml:space="preserve">    7) Debiti verso fornitori</t>
  </si>
  <si>
    <t xml:space="preserve">    8) Debiti rappresentati da titoli di credito</t>
  </si>
  <si>
    <t xml:space="preserve">    9) Debiti verso imprese controllate</t>
  </si>
  <si>
    <t xml:space="preserve">    10) Debiti verso imprese collegate</t>
  </si>
  <si>
    <t xml:space="preserve">    11) Debiti verso controllanti</t>
  </si>
  <si>
    <t xml:space="preserve">    11-bis) Debiti verso imprese sottoposte al controllo delle controllanti</t>
  </si>
  <si>
    <t xml:space="preserve">    12) Debiti tributari</t>
  </si>
  <si>
    <t xml:space="preserve">    13) Debiti verso istituti di previdenza e sicurezza sociale</t>
  </si>
  <si>
    <t xml:space="preserve">    14) Altri debiti</t>
  </si>
  <si>
    <t>E) Ratei e risconti</t>
  </si>
  <si>
    <t xml:space="preserve">    - aggio su prestiti</t>
  </si>
  <si>
    <t xml:space="preserve">    - vari</t>
  </si>
  <si>
    <t>Attivo</t>
  </si>
  <si>
    <t>Passivo</t>
  </si>
  <si>
    <t>Differenza</t>
  </si>
  <si>
    <t>NB: Il prospetto riporta i dati dell'anno precedente al primo anno del piano, direttamente come variazione del CCN all'interno delle disponibilità liquide</t>
  </si>
  <si>
    <t>Added Value P&amp;L</t>
  </si>
  <si>
    <t>Added value</t>
  </si>
  <si>
    <t>Consuntivo</t>
  </si>
  <si>
    <t>Change in finished product inventories</t>
  </si>
  <si>
    <t>Change in work in progress to order</t>
  </si>
  <si>
    <t>Increases in fixed assets for internal works</t>
  </si>
  <si>
    <t>Total revenues</t>
  </si>
  <si>
    <t>Changes in inventories of raw materials, supplies, consumables and goods</t>
  </si>
  <si>
    <t>First margin</t>
  </si>
  <si>
    <t>Services</t>
  </si>
  <si>
    <t>Added Value</t>
  </si>
  <si>
    <t>Accantonamenti</t>
  </si>
  <si>
    <t>EBIT</t>
  </si>
  <si>
    <t>Financial income</t>
  </si>
  <si>
    <t>Financial costs</t>
  </si>
  <si>
    <t>Extraordinary income</t>
  </si>
  <si>
    <t>Extraordinary expenses</t>
  </si>
  <si>
    <t>Adjustments to financial assets</t>
  </si>
  <si>
    <t>Profit befor taxes</t>
  </si>
  <si>
    <t>Profit after taxes</t>
  </si>
  <si>
    <t>Financial management balance</t>
  </si>
  <si>
    <t>Balance of extraordinary management</t>
  </si>
  <si>
    <t>A costo del venduto</t>
  </si>
  <si>
    <t>Ricavi</t>
  </si>
  <si>
    <t>Variazione rimanenze prodotti in corso di lavor., semilavorati e finiti</t>
  </si>
  <si>
    <t>Variazione dei lavori in corso su ordinazione</t>
  </si>
  <si>
    <t>Incrementi di immobilizzazioni per lavori interni</t>
  </si>
  <si>
    <t>Proventi finanziari</t>
  </si>
  <si>
    <t>Proventi straordinari</t>
  </si>
  <si>
    <t>Totale delle componenti attive di reddito</t>
  </si>
  <si>
    <t>Costi per materie prime e prodotti finiti</t>
  </si>
  <si>
    <t>Variazioni rimanenze materie prime, sussid., di consumo e merci</t>
  </si>
  <si>
    <t>Margine industriale (M')</t>
  </si>
  <si>
    <t>Costi per servizi a valenza industriale</t>
  </si>
  <si>
    <t>Valore aggiunto</t>
  </si>
  <si>
    <t>Costi per servizi a valenza commerciale</t>
  </si>
  <si>
    <t>Costi per servizi a valenza generale</t>
  </si>
  <si>
    <t>Costo del lavoro</t>
  </si>
  <si>
    <t>Costi accessori al costo del lavoro</t>
  </si>
  <si>
    <t>Margine operativo lordo (EBITDA)</t>
  </si>
  <si>
    <t>Ammortamenti e Svalutazioni</t>
  </si>
  <si>
    <t>Reddito operativo (EBIT)</t>
  </si>
  <si>
    <t>Oneri finanziari</t>
  </si>
  <si>
    <t>Oneri straordinari</t>
  </si>
  <si>
    <t>Rettifiche di attività finanziarie</t>
  </si>
  <si>
    <t>Risultato ante imposte</t>
  </si>
  <si>
    <t>Imposte</t>
  </si>
  <si>
    <t>Utile di esercizio</t>
  </si>
  <si>
    <t>F/V Ratio</t>
  </si>
  <si>
    <t>Profit check</t>
  </si>
  <si>
    <t>EBITDA Margin</t>
  </si>
  <si>
    <t>EBIT Margin</t>
  </si>
  <si>
    <t>ROS</t>
  </si>
  <si>
    <t>ROE (Whitout profits distribution)</t>
  </si>
  <si>
    <t>ROD</t>
  </si>
  <si>
    <t>Debito Netto</t>
  </si>
  <si>
    <t>Mutui</t>
  </si>
  <si>
    <t>Finanziamento richiesto</t>
  </si>
  <si>
    <t>Mensile</t>
  </si>
  <si>
    <t>Trimestrale</t>
  </si>
  <si>
    <t>Semestrale</t>
  </si>
  <si>
    <t>Interesse annuo (p. es.: 8,5)</t>
  </si>
  <si>
    <t>Numero rate per anno</t>
  </si>
  <si>
    <t>Durata del prestito (anni)</t>
  </si>
  <si>
    <t>Numero rate complessive</t>
  </si>
  <si>
    <t xml:space="preserve">Totale Interessi *  </t>
  </si>
  <si>
    <t>Importo da pagare singola rata</t>
  </si>
  <si>
    <t>Importo annuo da pagare per rate</t>
  </si>
  <si>
    <t>Interessi per singola rata</t>
  </si>
  <si>
    <t>Totale interessi per anno</t>
  </si>
  <si>
    <t>Totale da restituire</t>
  </si>
  <si>
    <t>Interessi Per Prodotto Annuali</t>
  </si>
  <si>
    <t>Rate Per Prodotto Annuali</t>
  </si>
  <si>
    <t>Interessi Totali Annuali</t>
  </si>
  <si>
    <t>Totale Rate Annuali</t>
  </si>
  <si>
    <t>Annual cash flow</t>
  </si>
  <si>
    <t>Income</t>
  </si>
  <si>
    <t>Receivable</t>
  </si>
  <si>
    <t>Controllo</t>
  </si>
  <si>
    <t>Totale Sales</t>
  </si>
  <si>
    <t>Recived</t>
  </si>
  <si>
    <t>Equity + loans</t>
  </si>
  <si>
    <t>Venture Loans</t>
  </si>
  <si>
    <t>Total cash in</t>
  </si>
  <si>
    <t>Payments</t>
  </si>
  <si>
    <t>Debiti v. forn.</t>
  </si>
  <si>
    <t>Total cash outflows</t>
  </si>
  <si>
    <t>Payed</t>
  </si>
  <si>
    <t>To pay</t>
  </si>
  <si>
    <t>Costs that do not result in cash outflows</t>
  </si>
  <si>
    <t>TFR</t>
  </si>
  <si>
    <t>Net VAT</t>
  </si>
  <si>
    <t>Stock</t>
  </si>
  <si>
    <t>Tot. Operative cash out</t>
  </si>
  <si>
    <t>Subtotal Net CF</t>
  </si>
  <si>
    <t>Investments</t>
  </si>
  <si>
    <t>Immaterial</t>
  </si>
  <si>
    <t>Material</t>
  </si>
  <si>
    <t>Financial</t>
  </si>
  <si>
    <t>Balance of investment activity</t>
  </si>
  <si>
    <t>Financial - Capital</t>
  </si>
  <si>
    <t>Debiti a banche</t>
  </si>
  <si>
    <t>Total Financial Outcome</t>
  </si>
  <si>
    <t>Cash Flow before the CCN change</t>
  </si>
  <si>
    <t>Balances</t>
  </si>
  <si>
    <t>Cash after before the CCN change</t>
  </si>
  <si>
    <t>Initial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</si>
</sst>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&quot;€&quot;\ #,##0.00;[Red]\-&quot;€&quot;\ #,##0.00"/>
    <numFmt numFmtId="165" formatCode="&quot;€&quot;\ #,##0.00"/>
    <numFmt numFmtId="166" formatCode="0.000%"/>
    <numFmt numFmtId="167" formatCode="0.00000"/>
    <numFmt numFmtId="168" formatCode="&quot;€&quot;\ #,##0"/>
    <numFmt numFmtId="169" formatCode="&quot;€&quot;\ #,##0.0000"/>
    <numFmt numFmtId="170" formatCode="&quot;€&quot;\ #,##0.00000"/>
    <numFmt numFmtId="171" formatCode="&quot;€&quot;\ #,##0.000"/>
    <numFmt numFmtId="172" formatCode="&quot;€&quot;\ #,##0.000000000000000"/>
    <numFmt numFmtId="173" formatCode="0.000000%"/>
    <numFmt numFmtId="174" formatCode="0.0%"/>
    <numFmt numFmtId="175" formatCode="#,##0.00\ &quot;€&quot;"/>
    <numFmt numFmtId="176" formatCode="#,##0.0000\ &quot;€&quot;"/>
    <numFmt numFmtId="177" formatCode="#,##0\ &quot;€&quot;"/>
    <numFmt numFmtId="178" formatCode="_-* #,##0.00\ _€_-;\-* #,##0.00\ _€_-;_-* &quot;-&quot;??\ _€_-;_-@_-"/>
  </numFmts>
  <fonts count="43">
    <font>
      <sz val="10"/>
      <name val="Arial"/>
    </font>
    <font>
      <sz val="10"/>
      <name val="Arial"/>
    </font>
    <font>
      <b/>
      <sz val="8"/>
      <name val="Verdana"/>
      <family val="2"/>
    </font>
    <font>
      <sz val="8"/>
      <name val="Verdana"/>
      <family val="2"/>
    </font>
    <font>
      <i/>
      <sz val="8"/>
      <name val="Verdana"/>
      <family val="2"/>
    </font>
    <font>
      <sz val="10"/>
      <name val="Arial"/>
      <family val="2"/>
    </font>
    <font>
      <b/>
      <i/>
      <sz val="8"/>
      <name val="Verdana"/>
      <family val="2"/>
    </font>
    <font>
      <b/>
      <sz val="8"/>
      <color indexed="10"/>
      <name val="Verdana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Verdana"/>
      <family val="2"/>
    </font>
    <font>
      <sz val="8"/>
      <color theme="2"/>
      <name val="Verdana"/>
      <family val="2"/>
    </font>
    <font>
      <b/>
      <sz val="8"/>
      <color theme="5" tint="-0.249977111117893"/>
      <name val="Verdana"/>
      <family val="2"/>
    </font>
    <font>
      <b/>
      <sz val="8"/>
      <color theme="5" tint="-0.499984740745262"/>
      <name val="Verdana"/>
      <family val="2"/>
    </font>
    <font>
      <b/>
      <sz val="13"/>
      <color theme="5" tint="-0.249977111117893"/>
      <name val="Verdana"/>
      <family val="2"/>
    </font>
    <font>
      <b/>
      <sz val="8"/>
      <color rgb="FFFF0000"/>
      <name val="Verdana"/>
      <family val="2"/>
    </font>
    <font>
      <b/>
      <sz val="10"/>
      <color theme="0"/>
      <name val="Verdana"/>
      <family val="2"/>
    </font>
    <font>
      <i/>
      <sz val="8"/>
      <color rgb="FF000000"/>
      <name val="Verdana"/>
      <family val="2"/>
    </font>
    <font>
      <sz val="8"/>
      <color theme="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i/>
      <sz val="8"/>
      <color theme="0"/>
      <name val="Verdana"/>
      <family val="2"/>
    </font>
    <font>
      <b/>
      <i/>
      <sz val="8"/>
      <color theme="5" tint="-0.249977111117893"/>
      <name val="Verdana"/>
      <family val="2"/>
    </font>
    <font>
      <i/>
      <sz val="8"/>
      <color theme="0"/>
      <name val="Verdana"/>
      <family val="2"/>
    </font>
    <font>
      <shadow/>
      <sz val="8"/>
      <color rgb="FF953735"/>
      <name val="Verdana"/>
      <family val="2"/>
    </font>
    <font>
      <sz val="8"/>
      <color rgb="FF010202"/>
      <name val="Verdana"/>
      <family val="2"/>
    </font>
    <font>
      <b/>
      <sz val="10"/>
      <color rgb="FFFF0000"/>
      <name val="Verdana"/>
      <family val="2"/>
    </font>
    <font>
      <sz val="8"/>
      <color rgb="FFFF0000"/>
      <name val="Verdana"/>
      <family val="2"/>
    </font>
    <font>
      <i/>
      <sz val="8"/>
      <color rgb="FFFF0000"/>
      <name val="Verdana"/>
      <family val="2"/>
    </font>
    <font>
      <sz val="10"/>
      <color rgb="FFFF0000"/>
      <name val="Verdana"/>
      <family val="2"/>
    </font>
    <font>
      <b/>
      <i/>
      <sz val="8"/>
      <color rgb="FFFF0000"/>
      <name val="Verdana"/>
      <family val="2"/>
    </font>
    <font>
      <b/>
      <sz val="13"/>
      <color theme="0"/>
      <name val="Verdana"/>
      <family val="2"/>
    </font>
    <font>
      <b/>
      <i/>
      <sz val="13"/>
      <color theme="5" tint="-0.249977111117893"/>
      <name val="Verdana"/>
      <family val="2"/>
    </font>
    <font>
      <b/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79998168889431442"/>
        <bgColor indexed="9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4" tint="0.79998168889431442"/>
        <bgColor indexed="9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C00000"/>
      </top>
      <bottom style="double">
        <color indexed="64"/>
      </bottom>
      <diagonal/>
    </border>
  </borders>
  <cellStyleXfs count="4">
    <xf numFmtId="0" fontId="0" fillId="0" borderId="0"/>
    <xf numFmtId="0" fontId="18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4" fontId="2" fillId="4" borderId="1" xfId="0" applyNumberFormat="1" applyFont="1" applyFill="1" applyBorder="1"/>
    <xf numFmtId="4" fontId="3" fillId="4" borderId="1" xfId="0" applyNumberFormat="1" applyFont="1" applyFill="1" applyBorder="1"/>
    <xf numFmtId="4" fontId="2" fillId="4" borderId="2" xfId="0" applyNumberFormat="1" applyFont="1" applyFill="1" applyBorder="1"/>
    <xf numFmtId="4" fontId="3" fillId="5" borderId="1" xfId="0" applyNumberFormat="1" applyFont="1" applyFill="1" applyBorder="1"/>
    <xf numFmtId="4" fontId="3" fillId="4" borderId="2" xfId="0" applyNumberFormat="1" applyFont="1" applyFill="1" applyBorder="1"/>
    <xf numFmtId="0" fontId="3" fillId="5" borderId="0" xfId="0" applyFont="1" applyFill="1"/>
    <xf numFmtId="2" fontId="3" fillId="5" borderId="3" xfId="0" applyNumberFormat="1" applyFont="1" applyFill="1" applyBorder="1"/>
    <xf numFmtId="4" fontId="3" fillId="4" borderId="4" xfId="0" applyNumberFormat="1" applyFont="1" applyFill="1" applyBorder="1"/>
    <xf numFmtId="0" fontId="3" fillId="5" borderId="4" xfId="0" applyFont="1" applyFill="1" applyBorder="1"/>
    <xf numFmtId="0" fontId="3" fillId="5" borderId="5" xfId="0" applyFont="1" applyFill="1" applyBorder="1"/>
    <xf numFmtId="0" fontId="3" fillId="5" borderId="6" xfId="0" applyFont="1" applyFill="1" applyBorder="1"/>
    <xf numFmtId="4" fontId="7" fillId="6" borderId="7" xfId="0" applyNumberFormat="1" applyFont="1" applyFill="1" applyBorder="1" applyProtection="1">
      <protection locked="0"/>
    </xf>
    <xf numFmtId="4" fontId="7" fillId="6" borderId="0" xfId="0" applyNumberFormat="1" applyFont="1" applyFill="1" applyProtection="1">
      <protection locked="0"/>
    </xf>
    <xf numFmtId="4" fontId="8" fillId="6" borderId="0" xfId="0" applyNumberFormat="1" applyFont="1" applyFill="1" applyAlignment="1">
      <alignment horizontal="right"/>
    </xf>
    <xf numFmtId="4" fontId="3" fillId="6" borderId="0" xfId="0" applyNumberFormat="1" applyFont="1" applyFill="1" applyAlignment="1">
      <alignment horizontal="right"/>
    </xf>
    <xf numFmtId="4" fontId="2" fillId="6" borderId="5" xfId="0" applyNumberFormat="1" applyFont="1" applyFill="1" applyBorder="1" applyAlignment="1">
      <alignment horizontal="right"/>
    </xf>
    <xf numFmtId="4" fontId="2" fillId="6" borderId="2" xfId="0" applyNumberFormat="1" applyFont="1" applyFill="1" applyBorder="1" applyAlignment="1">
      <alignment horizontal="center" vertical="center"/>
    </xf>
    <xf numFmtId="4" fontId="2" fillId="6" borderId="8" xfId="0" applyNumberFormat="1" applyFont="1" applyFill="1" applyBorder="1" applyAlignment="1">
      <alignment horizontal="center" vertical="center"/>
    </xf>
    <xf numFmtId="4" fontId="3" fillId="6" borderId="4" xfId="0" applyNumberFormat="1" applyFont="1" applyFill="1" applyBorder="1" applyAlignment="1">
      <alignment horizontal="center" vertical="center"/>
    </xf>
    <xf numFmtId="4" fontId="3" fillId="6" borderId="9" xfId="0" applyNumberFormat="1" applyFont="1" applyFill="1" applyBorder="1" applyAlignment="1">
      <alignment horizontal="center" vertical="center"/>
    </xf>
    <xf numFmtId="4" fontId="2" fillId="4" borderId="10" xfId="0" applyNumberFormat="1" applyFont="1" applyFill="1" applyBorder="1" applyAlignment="1">
      <alignment horizontal="center"/>
    </xf>
    <xf numFmtId="3" fontId="3" fillId="6" borderId="1" xfId="0" applyNumberFormat="1" applyFont="1" applyFill="1" applyBorder="1" applyAlignment="1">
      <alignment horizontal="center" vertical="center"/>
    </xf>
    <xf numFmtId="3" fontId="3" fillId="6" borderId="11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>
      <alignment horizontal="center" vertical="center"/>
    </xf>
    <xf numFmtId="3" fontId="3" fillId="6" borderId="8" xfId="0" applyNumberFormat="1" applyFont="1" applyFill="1" applyBorder="1" applyAlignment="1">
      <alignment horizontal="center" vertical="center"/>
    </xf>
    <xf numFmtId="0" fontId="3" fillId="7" borderId="0" xfId="0" applyFont="1" applyFill="1"/>
    <xf numFmtId="0" fontId="2" fillId="8" borderId="12" xfId="0" applyFont="1" applyFill="1" applyBorder="1"/>
    <xf numFmtId="165" fontId="8" fillId="6" borderId="0" xfId="0" applyNumberFormat="1" applyFont="1" applyFill="1" applyAlignment="1">
      <alignment horizontal="right"/>
    </xf>
    <xf numFmtId="165" fontId="7" fillId="6" borderId="7" xfId="0" applyNumberFormat="1" applyFont="1" applyFill="1" applyBorder="1" applyProtection="1">
      <protection locked="0"/>
    </xf>
    <xf numFmtId="165" fontId="2" fillId="8" borderId="10" xfId="0" applyNumberFormat="1" applyFont="1" applyFill="1" applyBorder="1" applyAlignment="1">
      <alignment horizontal="right"/>
    </xf>
    <xf numFmtId="0" fontId="3" fillId="9" borderId="1" xfId="0" applyFont="1" applyFill="1" applyBorder="1"/>
    <xf numFmtId="4" fontId="3" fillId="9" borderId="13" xfId="0" applyNumberFormat="1" applyFont="1" applyFill="1" applyBorder="1" applyAlignment="1">
      <alignment horizontal="right"/>
    </xf>
    <xf numFmtId="0" fontId="3" fillId="9" borderId="2" xfId="0" applyFont="1" applyFill="1" applyBorder="1"/>
    <xf numFmtId="4" fontId="3" fillId="9" borderId="3" xfId="0" applyNumberFormat="1" applyFont="1" applyFill="1" applyBorder="1" applyAlignment="1">
      <alignment horizontal="right"/>
    </xf>
    <xf numFmtId="165" fontId="3" fillId="9" borderId="3" xfId="0" applyNumberFormat="1" applyFont="1" applyFill="1" applyBorder="1" applyAlignment="1">
      <alignment horizontal="right"/>
    </xf>
    <xf numFmtId="0" fontId="3" fillId="9" borderId="4" xfId="0" applyFont="1" applyFill="1" applyBorder="1"/>
    <xf numFmtId="4" fontId="3" fillId="9" borderId="6" xfId="0" applyNumberFormat="1" applyFont="1" applyFill="1" applyBorder="1" applyAlignment="1">
      <alignment horizontal="right"/>
    </xf>
    <xf numFmtId="165" fontId="3" fillId="0" borderId="0" xfId="0" applyNumberFormat="1" applyFont="1" applyAlignment="1">
      <alignment horizontal="center" vertical="center"/>
    </xf>
    <xf numFmtId="165" fontId="3" fillId="0" borderId="0" xfId="0" quotePrefix="1" applyNumberFormat="1" applyFont="1" applyAlignment="1">
      <alignment horizontal="center" vertical="center"/>
    </xf>
    <xf numFmtId="4" fontId="20" fillId="0" borderId="0" xfId="0" applyNumberFormat="1" applyFont="1"/>
    <xf numFmtId="0" fontId="2" fillId="9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165" fontId="2" fillId="9" borderId="0" xfId="0" applyNumberFormat="1" applyFont="1" applyFill="1" applyAlignment="1">
      <alignment horizontal="center" vertical="center"/>
    </xf>
    <xf numFmtId="165" fontId="2" fillId="8" borderId="0" xfId="0" applyNumberFormat="1" applyFont="1" applyFill="1" applyAlignment="1">
      <alignment horizontal="center" vertical="center"/>
    </xf>
    <xf numFmtId="165" fontId="3" fillId="9" borderId="13" xfId="0" applyNumberFormat="1" applyFont="1" applyFill="1" applyBorder="1" applyAlignment="1">
      <alignment horizontal="right"/>
    </xf>
    <xf numFmtId="165" fontId="3" fillId="9" borderId="6" xfId="0" applyNumberFormat="1" applyFont="1" applyFill="1" applyBorder="1" applyAlignment="1">
      <alignment horizontal="right"/>
    </xf>
    <xf numFmtId="165" fontId="3" fillId="9" borderId="0" xfId="0" applyNumberFormat="1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vertical="center"/>
    </xf>
    <xf numFmtId="0" fontId="6" fillId="9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6" fillId="8" borderId="0" xfId="0" applyFont="1" applyFill="1" applyAlignment="1">
      <alignment vertical="center"/>
    </xf>
    <xf numFmtId="165" fontId="3" fillId="0" borderId="14" xfId="0" applyNumberFormat="1" applyFont="1" applyBorder="1" applyAlignment="1">
      <alignment horizontal="center" vertical="center"/>
    </xf>
    <xf numFmtId="0" fontId="22" fillId="10" borderId="14" xfId="0" applyFont="1" applyFill="1" applyBorder="1" applyAlignment="1">
      <alignment vertical="center"/>
    </xf>
    <xf numFmtId="165" fontId="22" fillId="10" borderId="14" xfId="0" applyNumberFormat="1" applyFont="1" applyFill="1" applyBorder="1" applyAlignment="1">
      <alignment horizontal="center" vertical="center"/>
    </xf>
    <xf numFmtId="0" fontId="22" fillId="10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14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21" fillId="10" borderId="15" xfId="0" applyFont="1" applyFill="1" applyBorder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0" fontId="2" fillId="8" borderId="0" xfId="0" applyFont="1" applyFill="1" applyAlignment="1">
      <alignment horizontal="center" vertical="center"/>
    </xf>
    <xf numFmtId="0" fontId="22" fillId="10" borderId="15" xfId="0" applyFont="1" applyFill="1" applyBorder="1" applyAlignment="1">
      <alignment vertical="center"/>
    </xf>
    <xf numFmtId="165" fontId="22" fillId="10" borderId="15" xfId="0" applyNumberFormat="1" applyFont="1" applyFill="1" applyBorder="1" applyAlignment="1">
      <alignment horizontal="center" vertical="center"/>
    </xf>
    <xf numFmtId="165" fontId="2" fillId="8" borderId="14" xfId="0" applyNumberFormat="1" applyFont="1" applyFill="1" applyBorder="1" applyAlignment="1">
      <alignment horizontal="center" vertical="center"/>
    </xf>
    <xf numFmtId="1" fontId="2" fillId="9" borderId="0" xfId="0" applyNumberFormat="1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28" fillId="9" borderId="0" xfId="0" applyFont="1" applyFill="1" applyAlignment="1">
      <alignment horizontal="center" vertical="center"/>
    </xf>
    <xf numFmtId="169" fontId="29" fillId="0" borderId="14" xfId="0" applyNumberFormat="1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10" borderId="0" xfId="0" applyFont="1" applyFill="1" applyAlignment="1">
      <alignment horizontal="center" vertical="center"/>
    </xf>
    <xf numFmtId="0" fontId="28" fillId="10" borderId="3" xfId="0" applyFont="1" applyFill="1" applyBorder="1" applyAlignment="1">
      <alignment horizontal="center" vertical="center"/>
    </xf>
    <xf numFmtId="0" fontId="29" fillId="0" borderId="0" xfId="0" applyFont="1" applyAlignment="1">
      <alignment horizontal="left"/>
    </xf>
    <xf numFmtId="165" fontId="28" fillId="0" borderId="0" xfId="0" applyNumberFormat="1" applyFont="1" applyAlignment="1">
      <alignment horizontal="center" vertical="center"/>
    </xf>
    <xf numFmtId="4" fontId="3" fillId="5" borderId="5" xfId="0" applyNumberFormat="1" applyFont="1" applyFill="1" applyBorder="1"/>
    <xf numFmtId="165" fontId="22" fillId="13" borderId="15" xfId="0" applyNumberFormat="1" applyFont="1" applyFill="1" applyBorder="1" applyAlignment="1">
      <alignment horizontal="center" vertical="center"/>
    </xf>
    <xf numFmtId="9" fontId="3" fillId="0" borderId="0" xfId="2" applyFont="1" applyAlignment="1" applyProtection="1">
      <alignment vertical="center"/>
    </xf>
    <xf numFmtId="0" fontId="30" fillId="14" borderId="0" xfId="0" applyFont="1" applyFill="1" applyAlignment="1">
      <alignment vertical="center"/>
    </xf>
    <xf numFmtId="0" fontId="31" fillId="14" borderId="0" xfId="0" applyFont="1" applyFill="1" applyAlignment="1">
      <alignment vertical="center"/>
    </xf>
    <xf numFmtId="0" fontId="32" fillId="14" borderId="0" xfId="0" applyFont="1" applyFill="1" applyAlignment="1">
      <alignment vertical="center"/>
    </xf>
    <xf numFmtId="0" fontId="3" fillId="11" borderId="7" xfId="0" applyFont="1" applyFill="1" applyBorder="1"/>
    <xf numFmtId="0" fontId="3" fillId="11" borderId="0" xfId="0" applyFont="1" applyFill="1"/>
    <xf numFmtId="0" fontId="33" fillId="11" borderId="0" xfId="0" applyFont="1" applyFill="1" applyAlignment="1">
      <alignment horizontal="center"/>
    </xf>
    <xf numFmtId="0" fontId="12" fillId="11" borderId="0" xfId="0" applyFont="1" applyFill="1"/>
    <xf numFmtId="0" fontId="13" fillId="11" borderId="0" xfId="0" applyFont="1" applyFill="1" applyAlignment="1">
      <alignment horizontal="left" vertical="center"/>
    </xf>
    <xf numFmtId="0" fontId="13" fillId="11" borderId="0" xfId="0" applyFont="1" applyFill="1"/>
    <xf numFmtId="0" fontId="4" fillId="11" borderId="14" xfId="0" applyFont="1" applyFill="1" applyBorder="1"/>
    <xf numFmtId="0" fontId="3" fillId="11" borderId="14" xfId="0" applyFont="1" applyFill="1" applyBorder="1"/>
    <xf numFmtId="165" fontId="0" fillId="0" borderId="0" xfId="0" applyNumberFormat="1"/>
    <xf numFmtId="0" fontId="3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168" fontId="22" fillId="10" borderId="15" xfId="0" applyNumberFormat="1" applyFont="1" applyFill="1" applyBorder="1" applyAlignment="1">
      <alignment horizontal="center" vertical="center"/>
    </xf>
    <xf numFmtId="169" fontId="0" fillId="0" borderId="0" xfId="0" applyNumberFormat="1"/>
    <xf numFmtId="0" fontId="0" fillId="0" borderId="0" xfId="0" applyAlignment="1">
      <alignment horizontal="left"/>
    </xf>
    <xf numFmtId="0" fontId="2" fillId="15" borderId="15" xfId="0" applyFont="1" applyFill="1" applyBorder="1" applyAlignment="1">
      <alignment horizontal="center" vertical="center"/>
    </xf>
    <xf numFmtId="0" fontId="3" fillId="9" borderId="0" xfId="0" applyFont="1" applyFill="1" applyAlignment="1">
      <alignment vertical="center"/>
    </xf>
    <xf numFmtId="0" fontId="4" fillId="9" borderId="0" xfId="0" applyFont="1" applyFill="1" applyAlignment="1">
      <alignment vertical="center"/>
    </xf>
    <xf numFmtId="3" fontId="29" fillId="10" borderId="0" xfId="0" applyNumberFormat="1" applyFont="1" applyFill="1" applyAlignment="1">
      <alignment horizontal="center" vertical="center"/>
    </xf>
    <xf numFmtId="3" fontId="28" fillId="10" borderId="0" xfId="0" applyNumberFormat="1" applyFont="1" applyFill="1" applyAlignment="1">
      <alignment horizontal="center" vertical="center"/>
    </xf>
    <xf numFmtId="3" fontId="29" fillId="10" borderId="14" xfId="0" applyNumberFormat="1" applyFont="1" applyFill="1" applyBorder="1" applyAlignment="1">
      <alignment horizontal="center" vertical="center"/>
    </xf>
    <xf numFmtId="0" fontId="4" fillId="11" borderId="0" xfId="0" applyFont="1" applyFill="1"/>
    <xf numFmtId="0" fontId="2" fillId="15" borderId="15" xfId="0" applyFont="1" applyFill="1" applyBorder="1" applyAlignment="1">
      <alignment horizontal="left" vertical="center"/>
    </xf>
    <xf numFmtId="0" fontId="2" fillId="16" borderId="15" xfId="0" applyFont="1" applyFill="1" applyBorder="1" applyAlignment="1">
      <alignment horizontal="left" vertical="center"/>
    </xf>
    <xf numFmtId="4" fontId="27" fillId="0" borderId="0" xfId="0" applyNumberFormat="1" applyFont="1"/>
    <xf numFmtId="0" fontId="0" fillId="0" borderId="0" xfId="0" applyAlignment="1">
      <alignment vertical="center"/>
    </xf>
    <xf numFmtId="0" fontId="22" fillId="16" borderId="15" xfId="0" applyFont="1" applyFill="1" applyBorder="1" applyAlignment="1">
      <alignment vertical="center"/>
    </xf>
    <xf numFmtId="168" fontId="22" fillId="16" borderId="15" xfId="0" applyNumberFormat="1" applyFont="1" applyFill="1" applyBorder="1" applyAlignment="1">
      <alignment horizontal="center" vertical="center"/>
    </xf>
    <xf numFmtId="165" fontId="22" fillId="16" borderId="15" xfId="0" applyNumberFormat="1" applyFont="1" applyFill="1" applyBorder="1" applyAlignment="1">
      <alignment horizontal="center" vertical="center"/>
    </xf>
    <xf numFmtId="0" fontId="22" fillId="15" borderId="15" xfId="0" applyFont="1" applyFill="1" applyBorder="1" applyAlignment="1">
      <alignment vertical="center"/>
    </xf>
    <xf numFmtId="168" fontId="22" fillId="15" borderId="15" xfId="0" applyNumberFormat="1" applyFont="1" applyFill="1" applyBorder="1" applyAlignment="1">
      <alignment horizontal="center" vertical="center"/>
    </xf>
    <xf numFmtId="165" fontId="22" fillId="15" borderId="15" xfId="0" applyNumberFormat="1" applyFont="1" applyFill="1" applyBorder="1" applyAlignment="1">
      <alignment horizontal="center" vertical="center"/>
    </xf>
    <xf numFmtId="0" fontId="22" fillId="13" borderId="15" xfId="0" applyFont="1" applyFill="1" applyBorder="1" applyAlignment="1">
      <alignment vertical="center"/>
    </xf>
    <xf numFmtId="168" fontId="22" fillId="13" borderId="15" xfId="0" applyNumberFormat="1" applyFont="1" applyFill="1" applyBorder="1" applyAlignment="1">
      <alignment horizontal="center" vertical="center"/>
    </xf>
    <xf numFmtId="168" fontId="22" fillId="19" borderId="15" xfId="0" applyNumberFormat="1" applyFont="1" applyFill="1" applyBorder="1" applyAlignment="1">
      <alignment horizontal="center" vertical="center"/>
    </xf>
    <xf numFmtId="165" fontId="22" fillId="19" borderId="1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9" fillId="0" borderId="10" xfId="0" quotePrefix="1" applyFont="1" applyBorder="1" applyAlignment="1">
      <alignment horizontal="left" vertical="center" wrapText="1"/>
    </xf>
    <xf numFmtId="165" fontId="29" fillId="0" borderId="10" xfId="0" quotePrefix="1" applyNumberFormat="1" applyFont="1" applyBorder="1" applyAlignment="1">
      <alignment horizontal="left" vertical="center" wrapText="1"/>
    </xf>
    <xf numFmtId="0" fontId="29" fillId="0" borderId="10" xfId="0" applyFont="1" applyBorder="1" applyAlignment="1">
      <alignment vertical="center" wrapText="1"/>
    </xf>
    <xf numFmtId="0" fontId="28" fillId="0" borderId="10" xfId="0" quotePrefix="1" applyFont="1" applyBorder="1" applyAlignment="1">
      <alignment horizontal="left" vertical="center" wrapText="1"/>
    </xf>
    <xf numFmtId="165" fontId="28" fillId="0" borderId="10" xfId="0" quotePrefix="1" applyNumberFormat="1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165" fontId="3" fillId="0" borderId="0" xfId="0" applyNumberFormat="1" applyFont="1" applyAlignment="1">
      <alignment wrapText="1"/>
    </xf>
    <xf numFmtId="0" fontId="28" fillId="0" borderId="10" xfId="0" applyFont="1" applyBorder="1" applyAlignment="1">
      <alignment horizontal="left" vertical="center" wrapText="1"/>
    </xf>
    <xf numFmtId="168" fontId="3" fillId="0" borderId="0" xfId="0" applyNumberFormat="1" applyFont="1" applyAlignment="1">
      <alignment horizontal="center" vertical="center"/>
    </xf>
    <xf numFmtId="168" fontId="3" fillId="8" borderId="0" xfId="0" applyNumberFormat="1" applyFont="1" applyFill="1" applyAlignment="1">
      <alignment horizontal="center" vertical="center"/>
    </xf>
    <xf numFmtId="168" fontId="2" fillId="9" borderId="0" xfId="0" applyNumberFormat="1" applyFont="1" applyFill="1" applyAlignment="1">
      <alignment horizontal="center" vertical="center"/>
    </xf>
    <xf numFmtId="168" fontId="3" fillId="9" borderId="0" xfId="0" applyNumberFormat="1" applyFont="1" applyFill="1" applyAlignment="1">
      <alignment horizontal="center" vertical="center"/>
    </xf>
    <xf numFmtId="168" fontId="3" fillId="0" borderId="0" xfId="0" applyNumberFormat="1" applyFont="1" applyAlignment="1">
      <alignment vertical="center"/>
    </xf>
    <xf numFmtId="168" fontId="22" fillId="10" borderId="14" xfId="0" applyNumberFormat="1" applyFont="1" applyFill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5" xfId="0" applyFont="1" applyBorder="1" applyAlignment="1">
      <alignment vertical="center"/>
    </xf>
    <xf numFmtId="165" fontId="22" fillId="0" borderId="15" xfId="0" applyNumberFormat="1" applyFont="1" applyBorder="1" applyAlignment="1">
      <alignment horizontal="center" vertical="center"/>
    </xf>
    <xf numFmtId="168" fontId="0" fillId="0" borderId="0" xfId="0" applyNumberFormat="1" applyAlignment="1">
      <alignment vertical="center"/>
    </xf>
    <xf numFmtId="0" fontId="29" fillId="0" borderId="10" xfId="0" applyFont="1" applyBorder="1" applyAlignment="1">
      <alignment horizontal="left" vertical="center" wrapText="1"/>
    </xf>
    <xf numFmtId="168" fontId="2" fillId="0" borderId="0" xfId="0" applyNumberFormat="1" applyFont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168" fontId="2" fillId="13" borderId="0" xfId="0" applyNumberFormat="1" applyFont="1" applyFill="1" applyAlignment="1">
      <alignment horizontal="center" vertical="center"/>
    </xf>
    <xf numFmtId="176" fontId="29" fillId="0" borderId="14" xfId="0" applyNumberFormat="1" applyFont="1" applyBorder="1" applyAlignment="1">
      <alignment horizontal="center" vertical="center"/>
    </xf>
    <xf numFmtId="0" fontId="25" fillId="12" borderId="0" xfId="0" quotePrefix="1" applyFont="1" applyFill="1" applyAlignment="1">
      <alignment horizontal="center" vertical="center"/>
    </xf>
    <xf numFmtId="165" fontId="2" fillId="15" borderId="15" xfId="0" applyNumberFormat="1" applyFont="1" applyFill="1" applyBorder="1" applyAlignment="1">
      <alignment horizontal="center" vertical="center"/>
    </xf>
    <xf numFmtId="0" fontId="28" fillId="11" borderId="7" xfId="0" applyFont="1" applyFill="1" applyBorder="1" applyAlignment="1">
      <alignment horizontal="center" vertical="center"/>
    </xf>
    <xf numFmtId="0" fontId="29" fillId="11" borderId="0" xfId="0" applyFont="1" applyFill="1" applyAlignment="1">
      <alignment horizontal="center" vertical="center"/>
    </xf>
    <xf numFmtId="0" fontId="29" fillId="11" borderId="14" xfId="0" applyFont="1" applyFill="1" applyBorder="1" applyAlignment="1">
      <alignment horizontal="center" vertical="center"/>
    </xf>
    <xf numFmtId="2" fontId="28" fillId="0" borderId="10" xfId="0" applyNumberFormat="1" applyFont="1" applyBorder="1" applyAlignment="1">
      <alignment horizontal="left" vertical="center" wrapText="1"/>
    </xf>
    <xf numFmtId="0" fontId="2" fillId="15" borderId="15" xfId="0" applyFont="1" applyFill="1" applyBorder="1" applyAlignment="1">
      <alignment vertical="center"/>
    </xf>
    <xf numFmtId="0" fontId="2" fillId="9" borderId="15" xfId="0" applyFont="1" applyFill="1" applyBorder="1" applyAlignment="1">
      <alignment vertical="center"/>
    </xf>
    <xf numFmtId="0" fontId="2" fillId="16" borderId="15" xfId="0" applyFont="1" applyFill="1" applyBorder="1" applyAlignment="1">
      <alignment vertical="center"/>
    </xf>
    <xf numFmtId="165" fontId="2" fillId="16" borderId="15" xfId="0" applyNumberFormat="1" applyFont="1" applyFill="1" applyBorder="1" applyAlignment="1">
      <alignment horizontal="center" vertical="center"/>
    </xf>
    <xf numFmtId="168" fontId="2" fillId="16" borderId="15" xfId="0" applyNumberFormat="1" applyFont="1" applyFill="1" applyBorder="1" applyAlignment="1">
      <alignment horizontal="center" vertical="center"/>
    </xf>
    <xf numFmtId="168" fontId="2" fillId="9" borderId="15" xfId="0" applyNumberFormat="1" applyFont="1" applyFill="1" applyBorder="1" applyAlignment="1">
      <alignment horizontal="center" vertical="center"/>
    </xf>
    <xf numFmtId="0" fontId="6" fillId="16" borderId="15" xfId="0" applyFont="1" applyFill="1" applyBorder="1" applyAlignment="1">
      <alignment vertical="center"/>
    </xf>
    <xf numFmtId="1" fontId="2" fillId="15" borderId="15" xfId="0" applyNumberFormat="1" applyFont="1" applyFill="1" applyBorder="1" applyAlignment="1">
      <alignment horizontal="center" vertical="center"/>
    </xf>
    <xf numFmtId="168" fontId="3" fillId="8" borderId="0" xfId="0" quotePrefix="1" applyNumberFormat="1" applyFont="1" applyFill="1" applyAlignment="1">
      <alignment horizontal="center" vertical="center"/>
    </xf>
    <xf numFmtId="168" fontId="3" fillId="9" borderId="0" xfId="0" quotePrefix="1" applyNumberFormat="1" applyFont="1" applyFill="1" applyAlignment="1">
      <alignment horizontal="center" vertical="center"/>
    </xf>
    <xf numFmtId="168" fontId="22" fillId="19" borderId="15" xfId="0" applyNumberFormat="1" applyFont="1" applyFill="1" applyBorder="1" applyAlignment="1">
      <alignment horizontal="left" vertical="center"/>
    </xf>
    <xf numFmtId="0" fontId="0" fillId="7" borderId="0" xfId="0" applyFill="1"/>
    <xf numFmtId="0" fontId="2" fillId="8" borderId="10" xfId="0" applyFont="1" applyFill="1" applyBorder="1" applyAlignment="1">
      <alignment horizontal="left" vertical="center"/>
    </xf>
    <xf numFmtId="168" fontId="29" fillId="0" borderId="14" xfId="0" applyNumberFormat="1" applyFont="1" applyBorder="1" applyAlignment="1">
      <alignment horizontal="center" vertical="center"/>
    </xf>
    <xf numFmtId="3" fontId="28" fillId="0" borderId="14" xfId="0" applyNumberFormat="1" applyFont="1" applyBorder="1" applyAlignment="1">
      <alignment horizontal="center" vertical="center"/>
    </xf>
    <xf numFmtId="3" fontId="29" fillId="0" borderId="14" xfId="0" applyNumberFormat="1" applyFont="1" applyBorder="1" applyAlignment="1">
      <alignment horizontal="center" vertical="center"/>
    </xf>
    <xf numFmtId="168" fontId="29" fillId="10" borderId="0" xfId="0" applyNumberFormat="1" applyFont="1" applyFill="1" applyAlignment="1">
      <alignment horizontal="center" vertical="center"/>
    </xf>
    <xf numFmtId="168" fontId="29" fillId="10" borderId="3" xfId="0" applyNumberFormat="1" applyFont="1" applyFill="1" applyBorder="1" applyAlignment="1">
      <alignment horizontal="center" vertical="center"/>
    </xf>
    <xf numFmtId="168" fontId="28" fillId="10" borderId="0" xfId="0" applyNumberFormat="1" applyFont="1" applyFill="1" applyAlignment="1">
      <alignment horizontal="center" vertical="center"/>
    </xf>
    <xf numFmtId="168" fontId="28" fillId="10" borderId="3" xfId="0" applyNumberFormat="1" applyFont="1" applyFill="1" applyBorder="1" applyAlignment="1">
      <alignment horizontal="center" vertical="center"/>
    </xf>
    <xf numFmtId="168" fontId="29" fillId="10" borderId="14" xfId="0" applyNumberFormat="1" applyFont="1" applyFill="1" applyBorder="1" applyAlignment="1">
      <alignment horizontal="center" vertical="center"/>
    </xf>
    <xf numFmtId="168" fontId="29" fillId="10" borderId="23" xfId="0" applyNumberFormat="1" applyFont="1" applyFill="1" applyBorder="1" applyAlignment="1">
      <alignment horizontal="center" vertical="center"/>
    </xf>
    <xf numFmtId="0" fontId="2" fillId="9" borderId="7" xfId="0" applyFont="1" applyFill="1" applyBorder="1"/>
    <xf numFmtId="0" fontId="3" fillId="0" borderId="7" xfId="0" applyFont="1" applyBorder="1"/>
    <xf numFmtId="177" fontId="3" fillId="0" borderId="7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14" xfId="0" applyFont="1" applyBorder="1"/>
    <xf numFmtId="177" fontId="3" fillId="0" borderId="14" xfId="0" applyNumberFormat="1" applyFont="1" applyBorder="1" applyAlignment="1">
      <alignment horizontal="center"/>
    </xf>
    <xf numFmtId="0" fontId="17" fillId="0" borderId="0" xfId="0" applyFont="1"/>
    <xf numFmtId="0" fontId="2" fillId="9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" fontId="17" fillId="0" borderId="0" xfId="0" applyNumberFormat="1" applyFont="1" applyAlignment="1">
      <alignment horizontal="center"/>
    </xf>
    <xf numFmtId="0" fontId="2" fillId="15" borderId="15" xfId="0" applyFont="1" applyFill="1" applyBorder="1"/>
    <xf numFmtId="0" fontId="2" fillId="15" borderId="15" xfId="0" applyFont="1" applyFill="1" applyBorder="1" applyAlignment="1">
      <alignment horizontal="center"/>
    </xf>
    <xf numFmtId="177" fontId="2" fillId="15" borderId="15" xfId="0" applyNumberFormat="1" applyFont="1" applyFill="1" applyBorder="1" applyAlignment="1">
      <alignment horizontal="center"/>
    </xf>
    <xf numFmtId="0" fontId="42" fillId="15" borderId="15" xfId="0" applyFont="1" applyFill="1" applyBorder="1" applyAlignment="1">
      <alignment horizontal="center"/>
    </xf>
    <xf numFmtId="43" fontId="0" fillId="0" borderId="0" xfId="3" applyFont="1"/>
    <xf numFmtId="178" fontId="0" fillId="0" borderId="0" xfId="0" applyNumberFormat="1"/>
    <xf numFmtId="0" fontId="17" fillId="0" borderId="7" xfId="0" applyFont="1" applyBorder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14" xfId="0" applyFont="1" applyBorder="1" applyAlignment="1" applyProtection="1">
      <alignment horizontal="center"/>
      <protection locked="0"/>
    </xf>
    <xf numFmtId="0" fontId="23" fillId="0" borderId="0" xfId="0" applyFont="1" applyAlignment="1">
      <alignment horizontal="center" vertical="center"/>
    </xf>
    <xf numFmtId="0" fontId="21" fillId="10" borderId="0" xfId="0" applyFont="1" applyFill="1" applyAlignment="1">
      <alignment horizontal="center" vertical="center"/>
    </xf>
    <xf numFmtId="1" fontId="21" fillId="1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0" fontId="2" fillId="0" borderId="15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8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168" fontId="3" fillId="0" borderId="17" xfId="0" applyNumberFormat="1" applyFont="1" applyBorder="1" applyAlignment="1">
      <alignment horizontal="center" vertical="center" wrapText="1"/>
    </xf>
    <xf numFmtId="165" fontId="3" fillId="0" borderId="17" xfId="0" applyNumberFormat="1" applyFont="1" applyBorder="1" applyAlignment="1">
      <alignment horizontal="center" vertical="center" wrapText="1"/>
    </xf>
    <xf numFmtId="10" fontId="3" fillId="0" borderId="17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8" fontId="3" fillId="0" borderId="19" xfId="0" applyNumberFormat="1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165" fontId="2" fillId="0" borderId="19" xfId="0" applyNumberFormat="1" applyFont="1" applyBorder="1" applyAlignment="1">
      <alignment horizontal="center" vertical="center" wrapText="1"/>
    </xf>
    <xf numFmtId="168" fontId="2" fillId="0" borderId="1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165" fontId="3" fillId="0" borderId="18" xfId="0" applyNumberFormat="1" applyFont="1" applyBorder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19" fillId="3" borderId="0" xfId="0" applyFont="1" applyFill="1" applyAlignment="1">
      <alignment horizontal="center" vertical="center"/>
    </xf>
    <xf numFmtId="168" fontId="19" fillId="3" borderId="0" xfId="0" applyNumberFormat="1" applyFont="1" applyFill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165" fontId="19" fillId="0" borderId="0" xfId="0" applyNumberFormat="1" applyFont="1" applyAlignment="1">
      <alignment horizontal="center" vertical="center" wrapText="1"/>
    </xf>
    <xf numFmtId="165" fontId="19" fillId="3" borderId="0" xfId="0" applyNumberFormat="1" applyFont="1" applyFill="1" applyAlignment="1">
      <alignment horizontal="center" vertical="center" wrapText="1"/>
    </xf>
    <xf numFmtId="10" fontId="19" fillId="3" borderId="0" xfId="0" applyNumberFormat="1" applyFont="1" applyFill="1" applyAlignment="1">
      <alignment horizontal="center" vertical="center" wrapText="1"/>
    </xf>
    <xf numFmtId="2" fontId="19" fillId="3" borderId="0" xfId="0" applyNumberFormat="1" applyFont="1" applyFill="1" applyAlignment="1">
      <alignment horizontal="center" vertical="center" wrapText="1"/>
    </xf>
    <xf numFmtId="0" fontId="3" fillId="10" borderId="0" xfId="0" applyFont="1" applyFill="1" applyAlignment="1">
      <alignment vertical="center"/>
    </xf>
    <xf numFmtId="165" fontId="22" fillId="10" borderId="0" xfId="0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10" fontId="3" fillId="0" borderId="0" xfId="2" applyNumberFormat="1" applyFont="1" applyFill="1" applyBorder="1" applyAlignment="1" applyProtection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68" fontId="22" fillId="10" borderId="0" xfId="0" applyNumberFormat="1" applyFont="1" applyFill="1" applyAlignment="1">
      <alignment horizontal="center" vertical="center" wrapText="1"/>
    </xf>
    <xf numFmtId="0" fontId="22" fillId="10" borderId="0" xfId="0" applyFont="1" applyFill="1" applyAlignment="1">
      <alignment vertical="center"/>
    </xf>
    <xf numFmtId="0" fontId="3" fillId="7" borderId="3" xfId="0" applyFont="1" applyFill="1" applyBorder="1" applyAlignment="1">
      <alignment vertical="center"/>
    </xf>
    <xf numFmtId="49" fontId="24" fillId="10" borderId="0" xfId="0" applyNumberFormat="1" applyFont="1" applyFill="1" applyAlignment="1">
      <alignment horizontal="center" vertical="center" wrapText="1"/>
    </xf>
    <xf numFmtId="172" fontId="3" fillId="0" borderId="0" xfId="0" applyNumberFormat="1" applyFont="1" applyAlignment="1">
      <alignment vertical="center"/>
    </xf>
    <xf numFmtId="0" fontId="25" fillId="12" borderId="0" xfId="0" applyFont="1" applyFill="1" applyAlignment="1">
      <alignment vertical="center"/>
    </xf>
    <xf numFmtId="0" fontId="2" fillId="10" borderId="15" xfId="0" applyFont="1" applyFill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73" fontId="3" fillId="0" borderId="0" xfId="0" applyNumberFormat="1" applyFont="1"/>
    <xf numFmtId="0" fontId="2" fillId="0" borderId="19" xfId="0" applyFont="1" applyBorder="1" applyAlignment="1">
      <alignment horizontal="center" vertical="center"/>
    </xf>
    <xf numFmtId="10" fontId="2" fillId="0" borderId="19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7" fontId="2" fillId="0" borderId="16" xfId="0" applyNumberFormat="1" applyFont="1" applyBorder="1" applyAlignment="1">
      <alignment horizontal="center" vertical="center"/>
    </xf>
    <xf numFmtId="10" fontId="2" fillId="0" borderId="16" xfId="0" applyNumberFormat="1" applyFont="1" applyBorder="1" applyAlignment="1">
      <alignment horizontal="center" vertical="center"/>
    </xf>
    <xf numFmtId="9" fontId="3" fillId="0" borderId="0" xfId="0" applyNumberFormat="1" applyFont="1"/>
    <xf numFmtId="0" fontId="3" fillId="0" borderId="5" xfId="0" applyFont="1" applyBorder="1" applyAlignment="1">
      <alignment vertical="center"/>
    </xf>
    <xf numFmtId="165" fontId="3" fillId="0" borderId="5" xfId="0" applyNumberFormat="1" applyFont="1" applyBorder="1" applyAlignment="1">
      <alignment horizontal="center" vertical="center"/>
    </xf>
    <xf numFmtId="168" fontId="6" fillId="0" borderId="0" xfId="0" applyNumberFormat="1" applyFont="1" applyAlignment="1">
      <alignment horizontal="center" vertical="center"/>
    </xf>
    <xf numFmtId="168" fontId="2" fillId="0" borderId="16" xfId="0" applyNumberFormat="1" applyFont="1" applyBorder="1" applyAlignment="1">
      <alignment horizontal="center" vertical="center"/>
    </xf>
    <xf numFmtId="168" fontId="6" fillId="0" borderId="16" xfId="0" applyNumberFormat="1" applyFont="1" applyBorder="1" applyAlignment="1">
      <alignment horizontal="center" vertical="center"/>
    </xf>
    <xf numFmtId="168" fontId="2" fillId="10" borderId="15" xfId="0" applyNumberFormat="1" applyFont="1" applyFill="1" applyBorder="1" applyAlignment="1">
      <alignment horizontal="center" vertical="center"/>
    </xf>
    <xf numFmtId="168" fontId="3" fillId="0" borderId="0" xfId="0" applyNumberFormat="1" applyFont="1"/>
    <xf numFmtId="0" fontId="21" fillId="10" borderId="0" xfId="0" applyFont="1" applyFill="1" applyAlignment="1">
      <alignment horizontal="left" vertical="center"/>
    </xf>
    <xf numFmtId="169" fontId="3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165" fontId="3" fillId="0" borderId="2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0" fontId="3" fillId="0" borderId="1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2" fillId="0" borderId="16" xfId="0" applyFont="1" applyBorder="1" applyAlignment="1">
      <alignment vertical="center"/>
    </xf>
    <xf numFmtId="4" fontId="2" fillId="0" borderId="16" xfId="0" applyNumberFormat="1" applyFont="1" applyBorder="1" applyAlignment="1">
      <alignment horizontal="center" vertical="center"/>
    </xf>
    <xf numFmtId="165" fontId="2" fillId="0" borderId="16" xfId="0" applyNumberFormat="1" applyFont="1" applyBorder="1" applyAlignment="1">
      <alignment horizontal="center" vertical="center"/>
    </xf>
    <xf numFmtId="0" fontId="21" fillId="10" borderId="15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1" fontId="3" fillId="0" borderId="24" xfId="0" applyNumberFormat="1" applyFont="1" applyBorder="1" applyAlignment="1">
      <alignment horizontal="center" vertical="center"/>
    </xf>
    <xf numFmtId="1" fontId="2" fillId="0" borderId="19" xfId="0" applyNumberFormat="1" applyFont="1" applyBorder="1" applyAlignment="1">
      <alignment horizontal="left" vertical="center"/>
    </xf>
    <xf numFmtId="1" fontId="3" fillId="0" borderId="19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" fontId="3" fillId="0" borderId="16" xfId="0" applyNumberFormat="1" applyFont="1" applyBorder="1" applyAlignment="1">
      <alignment horizontal="center" vertical="center"/>
    </xf>
    <xf numFmtId="171" fontId="3" fillId="0" borderId="0" xfId="0" applyNumberFormat="1" applyFont="1" applyAlignment="1">
      <alignment horizontal="center" vertical="center"/>
    </xf>
    <xf numFmtId="0" fontId="22" fillId="10" borderId="15" xfId="0" applyFont="1" applyFill="1" applyBorder="1" applyAlignment="1">
      <alignment horizontal="left" vertical="center"/>
    </xf>
    <xf numFmtId="1" fontId="22" fillId="10" borderId="15" xfId="0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10" fontId="3" fillId="0" borderId="25" xfId="2" applyNumberFormat="1" applyFont="1" applyBorder="1" applyAlignment="1" applyProtection="1">
      <alignment horizontal="center" vertical="center"/>
    </xf>
    <xf numFmtId="2" fontId="3" fillId="0" borderId="25" xfId="2" applyNumberFormat="1" applyFont="1" applyBorder="1" applyAlignment="1" applyProtection="1">
      <alignment horizontal="center" vertical="center"/>
    </xf>
    <xf numFmtId="0" fontId="3" fillId="0" borderId="16" xfId="0" applyFont="1" applyBorder="1" applyAlignment="1">
      <alignment horizontal="left" vertical="center"/>
    </xf>
    <xf numFmtId="2" fontId="3" fillId="0" borderId="16" xfId="0" applyNumberFormat="1" applyFont="1" applyBorder="1" applyAlignment="1">
      <alignment horizontal="center" vertical="center"/>
    </xf>
    <xf numFmtId="0" fontId="2" fillId="22" borderId="15" xfId="0" applyFont="1" applyFill="1" applyBorder="1" applyAlignment="1">
      <alignment horizontal="left" vertical="center"/>
    </xf>
    <xf numFmtId="1" fontId="3" fillId="0" borderId="15" xfId="0" applyNumberFormat="1" applyFont="1" applyBorder="1" applyAlignment="1">
      <alignment horizontal="center" vertical="center"/>
    </xf>
    <xf numFmtId="177" fontId="3" fillId="22" borderId="15" xfId="0" applyNumberFormat="1" applyFont="1" applyFill="1" applyBorder="1" applyAlignment="1">
      <alignment horizontal="center" vertical="center"/>
    </xf>
    <xf numFmtId="10" fontId="3" fillId="22" borderId="15" xfId="0" applyNumberFormat="1" applyFont="1" applyFill="1" applyBorder="1" applyAlignment="1">
      <alignment horizontal="center" vertical="center"/>
    </xf>
    <xf numFmtId="0" fontId="19" fillId="17" borderId="15" xfId="0" applyFont="1" applyFill="1" applyBorder="1" applyAlignment="1">
      <alignment horizontal="left" vertical="center"/>
    </xf>
    <xf numFmtId="10" fontId="19" fillId="17" borderId="15" xfId="0" applyNumberFormat="1" applyFont="1" applyFill="1" applyBorder="1" applyAlignment="1">
      <alignment horizontal="center" vertical="center"/>
    </xf>
    <xf numFmtId="170" fontId="3" fillId="0" borderId="0" xfId="0" applyNumberFormat="1" applyFont="1" applyAlignment="1">
      <alignment horizontal="center" vertical="center"/>
    </xf>
    <xf numFmtId="0" fontId="22" fillId="13" borderId="15" xfId="0" applyFont="1" applyFill="1" applyBorder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0" fontId="22" fillId="10" borderId="7" xfId="0" applyFont="1" applyFill="1" applyBorder="1" applyAlignment="1">
      <alignment horizontal="left" vertical="center"/>
    </xf>
    <xf numFmtId="0" fontId="22" fillId="10" borderId="7" xfId="0" applyFont="1" applyFill="1" applyBorder="1" applyAlignment="1">
      <alignment horizontal="center" vertical="center"/>
    </xf>
    <xf numFmtId="1" fontId="22" fillId="10" borderId="14" xfId="0" applyNumberFormat="1" applyFont="1" applyFill="1" applyBorder="1" applyAlignment="1">
      <alignment horizontal="left" vertical="center"/>
    </xf>
    <xf numFmtId="4" fontId="22" fillId="10" borderId="14" xfId="0" applyNumberFormat="1" applyFont="1" applyFill="1" applyBorder="1" applyAlignment="1">
      <alignment horizontal="center" vertical="center"/>
    </xf>
    <xf numFmtId="10" fontId="2" fillId="15" borderId="15" xfId="0" applyNumberFormat="1" applyFont="1" applyFill="1" applyBorder="1" applyAlignment="1">
      <alignment horizontal="center" vertical="center" wrapText="1"/>
    </xf>
    <xf numFmtId="10" fontId="2" fillId="16" borderId="15" xfId="0" applyNumberFormat="1" applyFont="1" applyFill="1" applyBorder="1" applyAlignment="1">
      <alignment horizontal="center" vertical="center" wrapText="1"/>
    </xf>
    <xf numFmtId="0" fontId="2" fillId="18" borderId="15" xfId="0" applyFont="1" applyFill="1" applyBorder="1" applyAlignment="1">
      <alignment horizontal="left" vertical="center"/>
    </xf>
    <xf numFmtId="9" fontId="2" fillId="18" borderId="15" xfId="2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1" fontId="22" fillId="10" borderId="15" xfId="0" applyNumberFormat="1" applyFont="1" applyFill="1" applyBorder="1" applyAlignment="1" applyProtection="1">
      <alignment horizontal="center" vertical="center"/>
      <protection locked="0"/>
    </xf>
    <xf numFmtId="175" fontId="22" fillId="10" borderId="15" xfId="0" applyNumberFormat="1" applyFont="1" applyFill="1" applyBorder="1" applyAlignment="1" applyProtection="1">
      <alignment horizontal="center" vertical="center"/>
      <protection locked="0"/>
    </xf>
    <xf numFmtId="10" fontId="3" fillId="0" borderId="15" xfId="0" applyNumberFormat="1" applyFont="1" applyBorder="1" applyAlignment="1" applyProtection="1">
      <alignment horizontal="center" vertical="center"/>
      <protection locked="0"/>
    </xf>
    <xf numFmtId="174" fontId="3" fillId="0" borderId="15" xfId="0" applyNumberFormat="1" applyFont="1" applyBorder="1" applyAlignment="1" applyProtection="1">
      <alignment horizontal="center" vertical="center"/>
      <protection locked="0"/>
    </xf>
    <xf numFmtId="1" fontId="3" fillId="22" borderId="15" xfId="0" applyNumberFormat="1" applyFont="1" applyFill="1" applyBorder="1" applyAlignment="1" applyProtection="1">
      <alignment horizontal="center" vertical="center"/>
      <protection locked="0"/>
    </xf>
    <xf numFmtId="1" fontId="19" fillId="14" borderId="2" xfId="0" applyNumberFormat="1" applyFont="1" applyFill="1" applyBorder="1" applyAlignment="1">
      <alignment horizontal="left" vertical="center"/>
    </xf>
    <xf numFmtId="0" fontId="19" fillId="14" borderId="2" xfId="0" applyFont="1" applyFill="1" applyBorder="1" applyAlignment="1">
      <alignment horizontal="left" vertical="center"/>
    </xf>
    <xf numFmtId="0" fontId="19" fillId="14" borderId="0" xfId="0" applyFont="1" applyFill="1" applyAlignment="1">
      <alignment horizontal="center" vertical="center"/>
    </xf>
    <xf numFmtId="1" fontId="0" fillId="0" borderId="0" xfId="0" applyNumberFormat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1" fontId="7" fillId="2" borderId="26" xfId="0" applyNumberFormat="1" applyFont="1" applyFill="1" applyBorder="1" applyAlignment="1">
      <alignment horizontal="center" vertical="center"/>
    </xf>
    <xf numFmtId="1" fontId="7" fillId="0" borderId="26" xfId="0" applyNumberFormat="1" applyFont="1" applyBorder="1" applyAlignment="1">
      <alignment horizontal="center" vertical="center"/>
    </xf>
    <xf numFmtId="1" fontId="19" fillId="12" borderId="9" xfId="0" applyNumberFormat="1" applyFont="1" applyFill="1" applyBorder="1" applyAlignment="1">
      <alignment horizontal="left" vertical="center"/>
    </xf>
    <xf numFmtId="165" fontId="19" fillId="12" borderId="9" xfId="0" applyNumberFormat="1" applyFont="1" applyFill="1" applyBorder="1" applyAlignment="1">
      <alignment horizontal="left" vertical="center"/>
    </xf>
    <xf numFmtId="168" fontId="19" fillId="12" borderId="9" xfId="0" applyNumberFormat="1" applyFont="1" applyFill="1" applyBorder="1" applyAlignment="1">
      <alignment horizontal="center" vertical="center"/>
    </xf>
    <xf numFmtId="1" fontId="16" fillId="14" borderId="10" xfId="0" applyNumberFormat="1" applyFont="1" applyFill="1" applyBorder="1" applyAlignment="1">
      <alignment horizontal="left" vertical="center"/>
    </xf>
    <xf numFmtId="165" fontId="16" fillId="14" borderId="10" xfId="0" applyNumberFormat="1" applyFont="1" applyFill="1" applyBorder="1" applyAlignment="1">
      <alignment horizontal="left" vertical="center"/>
    </xf>
    <xf numFmtId="168" fontId="16" fillId="14" borderId="10" xfId="0" applyNumberFormat="1" applyFont="1" applyFill="1" applyBorder="1" applyAlignment="1">
      <alignment horizontal="center" vertical="center"/>
    </xf>
    <xf numFmtId="1" fontId="8" fillId="0" borderId="8" xfId="0" applyNumberFormat="1" applyFont="1" applyBorder="1" applyAlignment="1">
      <alignment horizontal="left" vertical="center"/>
    </xf>
    <xf numFmtId="165" fontId="8" fillId="0" borderId="8" xfId="0" applyNumberFormat="1" applyFont="1" applyBorder="1" applyAlignment="1">
      <alignment horizontal="left" vertical="center"/>
    </xf>
    <xf numFmtId="168" fontId="8" fillId="0" borderId="8" xfId="0" applyNumberFormat="1" applyFont="1" applyBorder="1" applyAlignment="1">
      <alignment horizontal="center" vertical="center"/>
    </xf>
    <xf numFmtId="1" fontId="16" fillId="14" borderId="8" xfId="0" applyNumberFormat="1" applyFont="1" applyFill="1" applyBorder="1" applyAlignment="1">
      <alignment horizontal="left" vertical="center"/>
    </xf>
    <xf numFmtId="165" fontId="16" fillId="14" borderId="8" xfId="0" applyNumberFormat="1" applyFont="1" applyFill="1" applyBorder="1" applyAlignment="1">
      <alignment horizontal="left" vertical="center"/>
    </xf>
    <xf numFmtId="168" fontId="16" fillId="14" borderId="8" xfId="0" applyNumberFormat="1" applyFont="1" applyFill="1" applyBorder="1" applyAlignment="1">
      <alignment horizontal="center" vertical="center"/>
    </xf>
    <xf numFmtId="1" fontId="9" fillId="10" borderId="11" xfId="0" applyNumberFormat="1" applyFont="1" applyFill="1" applyBorder="1" applyAlignment="1">
      <alignment horizontal="left" vertical="center"/>
    </xf>
    <xf numFmtId="165" fontId="9" fillId="10" borderId="11" xfId="0" applyNumberFormat="1" applyFont="1" applyFill="1" applyBorder="1" applyAlignment="1">
      <alignment horizontal="left" vertical="center"/>
    </xf>
    <xf numFmtId="168" fontId="9" fillId="10" borderId="11" xfId="0" applyNumberFormat="1" applyFont="1" applyFill="1" applyBorder="1" applyAlignment="1">
      <alignment horizontal="center" vertical="center"/>
    </xf>
    <xf numFmtId="1" fontId="8" fillId="10" borderId="8" xfId="0" applyNumberFormat="1" applyFont="1" applyFill="1" applyBorder="1" applyAlignment="1">
      <alignment horizontal="left" vertical="center"/>
    </xf>
    <xf numFmtId="165" fontId="8" fillId="10" borderId="8" xfId="0" applyNumberFormat="1" applyFont="1" applyFill="1" applyBorder="1" applyAlignment="1">
      <alignment horizontal="left" vertical="center"/>
    </xf>
    <xf numFmtId="168" fontId="8" fillId="10" borderId="8" xfId="0" applyNumberFormat="1" applyFont="1" applyFill="1" applyBorder="1" applyAlignment="1">
      <alignment horizontal="center" vertical="center"/>
    </xf>
    <xf numFmtId="1" fontId="8" fillId="0" borderId="11" xfId="0" applyNumberFormat="1" applyFont="1" applyBorder="1" applyAlignment="1">
      <alignment horizontal="left" vertical="center"/>
    </xf>
    <xf numFmtId="165" fontId="8" fillId="0" borderId="11" xfId="0" applyNumberFormat="1" applyFont="1" applyBorder="1" applyAlignment="1">
      <alignment horizontal="left" vertical="center"/>
    </xf>
    <xf numFmtId="168" fontId="8" fillId="0" borderId="11" xfId="0" applyNumberFormat="1" applyFont="1" applyBorder="1" applyAlignment="1">
      <alignment horizontal="center" vertical="center"/>
    </xf>
    <xf numFmtId="1" fontId="8" fillId="0" borderId="27" xfId="0" applyNumberFormat="1" applyFont="1" applyBorder="1" applyAlignment="1">
      <alignment horizontal="left" vertical="center"/>
    </xf>
    <xf numFmtId="165" fontId="8" fillId="0" borderId="27" xfId="0" applyNumberFormat="1" applyFont="1" applyBorder="1" applyAlignment="1">
      <alignment horizontal="left" vertical="center"/>
    </xf>
    <xf numFmtId="168" fontId="8" fillId="0" borderId="27" xfId="0" applyNumberFormat="1" applyFont="1" applyBorder="1" applyAlignment="1">
      <alignment horizontal="center" vertical="center"/>
    </xf>
    <xf numFmtId="1" fontId="19" fillId="12" borderId="28" xfId="0" applyNumberFormat="1" applyFont="1" applyFill="1" applyBorder="1" applyAlignment="1">
      <alignment horizontal="left" vertical="center"/>
    </xf>
    <xf numFmtId="165" fontId="19" fillId="12" borderId="28" xfId="0" applyNumberFormat="1" applyFont="1" applyFill="1" applyBorder="1" applyAlignment="1">
      <alignment horizontal="left" vertical="center"/>
    </xf>
    <xf numFmtId="168" fontId="19" fillId="12" borderId="28" xfId="0" applyNumberFormat="1" applyFont="1" applyFill="1" applyBorder="1" applyAlignment="1">
      <alignment horizontal="center" vertical="center"/>
    </xf>
    <xf numFmtId="1" fontId="9" fillId="0" borderId="11" xfId="0" applyNumberFormat="1" applyFont="1" applyBorder="1" applyAlignment="1">
      <alignment horizontal="left" vertical="center"/>
    </xf>
    <xf numFmtId="165" fontId="9" fillId="0" borderId="11" xfId="0" applyNumberFormat="1" applyFont="1" applyBorder="1" applyAlignment="1">
      <alignment horizontal="left" vertical="center"/>
    </xf>
    <xf numFmtId="168" fontId="9" fillId="0" borderId="11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left" vertical="center"/>
    </xf>
    <xf numFmtId="165" fontId="9" fillId="0" borderId="8" xfId="0" applyNumberFormat="1" applyFont="1" applyBorder="1" applyAlignment="1">
      <alignment horizontal="left" vertical="center"/>
    </xf>
    <xf numFmtId="168" fontId="9" fillId="0" borderId="8" xfId="0" applyNumberFormat="1" applyFont="1" applyBorder="1" applyAlignment="1">
      <alignment horizontal="center" vertical="center"/>
    </xf>
    <xf numFmtId="1" fontId="9" fillId="10" borderId="8" xfId="0" applyNumberFormat="1" applyFont="1" applyFill="1" applyBorder="1" applyAlignment="1">
      <alignment horizontal="left" vertical="center"/>
    </xf>
    <xf numFmtId="165" fontId="9" fillId="10" borderId="8" xfId="0" applyNumberFormat="1" applyFont="1" applyFill="1" applyBorder="1" applyAlignment="1">
      <alignment horizontal="left" vertical="center"/>
    </xf>
    <xf numFmtId="168" fontId="9" fillId="10" borderId="8" xfId="0" applyNumberFormat="1" applyFont="1" applyFill="1" applyBorder="1" applyAlignment="1">
      <alignment horizontal="center" vertical="center"/>
    </xf>
    <xf numFmtId="1" fontId="8" fillId="10" borderId="11" xfId="0" applyNumberFormat="1" applyFont="1" applyFill="1" applyBorder="1" applyAlignment="1">
      <alignment horizontal="left" vertical="center"/>
    </xf>
    <xf numFmtId="165" fontId="8" fillId="10" borderId="11" xfId="0" applyNumberFormat="1" applyFont="1" applyFill="1" applyBorder="1" applyAlignment="1">
      <alignment horizontal="left" vertical="center"/>
    </xf>
    <xf numFmtId="168" fontId="8" fillId="10" borderId="11" xfId="0" applyNumberFormat="1" applyFont="1" applyFill="1" applyBorder="1" applyAlignment="1">
      <alignment horizontal="center" vertical="center"/>
    </xf>
    <xf numFmtId="1" fontId="8" fillId="0" borderId="8" xfId="0" applyNumberFormat="1" applyFont="1" applyBorder="1" applyAlignment="1">
      <alignment horizontal="left"/>
    </xf>
    <xf numFmtId="165" fontId="8" fillId="0" borderId="8" xfId="0" applyNumberFormat="1" applyFont="1" applyBorder="1" applyAlignment="1">
      <alignment horizontal="left"/>
    </xf>
    <xf numFmtId="168" fontId="8" fillId="0" borderId="8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left" vertical="center"/>
    </xf>
    <xf numFmtId="165" fontId="8" fillId="0" borderId="9" xfId="0" applyNumberFormat="1" applyFont="1" applyBorder="1" applyAlignment="1">
      <alignment horizontal="left" vertical="center"/>
    </xf>
    <xf numFmtId="168" fontId="8" fillId="0" borderId="9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vertical="center"/>
    </xf>
    <xf numFmtId="2" fontId="3" fillId="0" borderId="0" xfId="0" applyNumberFormat="1" applyFont="1"/>
    <xf numFmtId="165" fontId="3" fillId="0" borderId="0" xfId="0" applyNumberFormat="1" applyFont="1"/>
    <xf numFmtId="10" fontId="36" fillId="0" borderId="0" xfId="0" applyNumberFormat="1" applyFont="1"/>
    <xf numFmtId="10" fontId="3" fillId="0" borderId="0" xfId="0" applyNumberFormat="1" applyFont="1"/>
    <xf numFmtId="0" fontId="4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2" fontId="2" fillId="10" borderId="0" xfId="0" applyNumberFormat="1" applyFont="1" applyFill="1" applyAlignment="1">
      <alignment horizontal="center" vertical="center" wrapText="1"/>
    </xf>
    <xf numFmtId="165" fontId="2" fillId="10" borderId="0" xfId="0" applyNumberFormat="1" applyFont="1" applyFill="1" applyAlignment="1">
      <alignment horizontal="center" vertical="center" wrapText="1"/>
    </xf>
    <xf numFmtId="10" fontId="24" fillId="10" borderId="0" xfId="0" applyNumberFormat="1" applyFont="1" applyFill="1" applyAlignment="1">
      <alignment horizontal="center" vertical="center" wrapText="1"/>
    </xf>
    <xf numFmtId="1" fontId="2" fillId="10" borderId="0" xfId="0" applyNumberFormat="1" applyFont="1" applyFill="1" applyAlignment="1">
      <alignment horizontal="center" vertical="center" wrapText="1"/>
    </xf>
    <xf numFmtId="10" fontId="2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" fontId="24" fillId="0" borderId="0" xfId="0" applyNumberFormat="1" applyFont="1" applyAlignment="1">
      <alignment horizontal="center" vertical="center" wrapText="1"/>
    </xf>
    <xf numFmtId="0" fontId="2" fillId="11" borderId="30" xfId="0" applyFont="1" applyFill="1" applyBorder="1" applyAlignment="1">
      <alignment vertical="center"/>
    </xf>
    <xf numFmtId="1" fontId="2" fillId="11" borderId="30" xfId="0" applyNumberFormat="1" applyFont="1" applyFill="1" applyBorder="1" applyAlignment="1">
      <alignment horizontal="center" vertical="center"/>
    </xf>
    <xf numFmtId="1" fontId="2" fillId="11" borderId="30" xfId="0" applyNumberFormat="1" applyFont="1" applyFill="1" applyBorder="1" applyAlignment="1">
      <alignment horizontal="center" vertical="center" wrapText="1"/>
    </xf>
    <xf numFmtId="0" fontId="2" fillId="11" borderId="30" xfId="0" applyFont="1" applyFill="1" applyBorder="1" applyAlignment="1">
      <alignment horizontal="center" vertical="center" wrapText="1"/>
    </xf>
    <xf numFmtId="10" fontId="24" fillId="11" borderId="30" xfId="0" applyNumberFormat="1" applyFont="1" applyFill="1" applyBorder="1" applyAlignment="1">
      <alignment horizontal="center" vertical="center" wrapText="1"/>
    </xf>
    <xf numFmtId="1" fontId="4" fillId="11" borderId="30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0" xfId="0" quotePrefix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 wrapText="1"/>
    </xf>
    <xf numFmtId="165" fontId="3" fillId="0" borderId="20" xfId="0" applyNumberFormat="1" applyFont="1" applyBorder="1" applyAlignment="1">
      <alignment horizontal="center" vertical="center" wrapText="1"/>
    </xf>
    <xf numFmtId="10" fontId="36" fillId="0" borderId="20" xfId="0" applyNumberFormat="1" applyFont="1" applyBorder="1" applyAlignment="1">
      <alignment horizontal="center" vertical="center" wrapText="1"/>
    </xf>
    <xf numFmtId="165" fontId="4" fillId="0" borderId="20" xfId="0" applyNumberFormat="1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10" fontId="4" fillId="0" borderId="0" xfId="0" applyNumberFormat="1" applyFont="1" applyAlignment="1">
      <alignment horizontal="center" vertical="center" wrapText="1"/>
    </xf>
    <xf numFmtId="165" fontId="37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165" fontId="36" fillId="0" borderId="17" xfId="0" applyNumberFormat="1" applyFont="1" applyBorder="1" applyAlignment="1">
      <alignment horizontal="center" vertical="center" wrapText="1"/>
    </xf>
    <xf numFmtId="1" fontId="4" fillId="0" borderId="17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0" fontId="37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65" fontId="34" fillId="0" borderId="0" xfId="0" applyNumberFormat="1" applyFont="1" applyAlignment="1">
      <alignment horizontal="center" vertical="center" shrinkToFit="1"/>
    </xf>
    <xf numFmtId="0" fontId="14" fillId="0" borderId="16" xfId="0" applyFont="1" applyBorder="1" applyAlignment="1">
      <alignment horizontal="center" vertical="center"/>
    </xf>
    <xf numFmtId="0" fontId="14" fillId="0" borderId="16" xfId="0" applyFont="1" applyBorder="1"/>
    <xf numFmtId="10" fontId="38" fillId="0" borderId="16" xfId="0" applyNumberFormat="1" applyFont="1" applyBorder="1"/>
    <xf numFmtId="0" fontId="15" fillId="0" borderId="16" xfId="0" applyFont="1" applyBorder="1" applyAlignment="1">
      <alignment horizontal="center" vertical="center"/>
    </xf>
    <xf numFmtId="0" fontId="2" fillId="11" borderId="21" xfId="0" applyFont="1" applyFill="1" applyBorder="1" applyAlignment="1">
      <alignment vertical="center"/>
    </xf>
    <xf numFmtId="0" fontId="2" fillId="11" borderId="2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5" fontId="24" fillId="0" borderId="14" xfId="0" applyNumberFormat="1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0" xfId="0" applyFont="1" applyBorder="1"/>
    <xf numFmtId="10" fontId="38" fillId="0" borderId="20" xfId="0" applyNumberFormat="1" applyFont="1" applyBorder="1"/>
    <xf numFmtId="0" fontId="15" fillId="0" borderId="20" xfId="0" applyFont="1" applyBorder="1" applyAlignment="1">
      <alignment horizontal="center" vertical="center"/>
    </xf>
    <xf numFmtId="1" fontId="24" fillId="11" borderId="30" xfId="0" applyNumberFormat="1" applyFont="1" applyFill="1" applyBorder="1" applyAlignment="1">
      <alignment horizontal="center" vertical="center" wrapText="1"/>
    </xf>
    <xf numFmtId="10" fontId="36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 wrapText="1"/>
    </xf>
    <xf numFmtId="10" fontId="38" fillId="0" borderId="0" xfId="0" applyNumberFormat="1" applyFont="1"/>
    <xf numFmtId="0" fontId="15" fillId="0" borderId="0" xfId="0" applyFont="1" applyAlignment="1">
      <alignment horizontal="center" vertical="center"/>
    </xf>
    <xf numFmtId="10" fontId="14" fillId="0" borderId="0" xfId="0" applyNumberFormat="1" applyFont="1"/>
    <xf numFmtId="0" fontId="3" fillId="11" borderId="0" xfId="0" quotePrefix="1" applyFont="1" applyFill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 vertical="center" wrapText="1"/>
    </xf>
    <xf numFmtId="10" fontId="39" fillId="0" borderId="16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0" fontId="2" fillId="11" borderId="14" xfId="0" applyFont="1" applyFill="1" applyBorder="1" applyAlignment="1">
      <alignment vertical="center"/>
    </xf>
    <xf numFmtId="0" fontId="2" fillId="11" borderId="14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 wrapText="1"/>
    </xf>
    <xf numFmtId="10" fontId="39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165" fontId="6" fillId="11" borderId="30" xfId="0" applyNumberFormat="1" applyFont="1" applyFill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/>
    </xf>
    <xf numFmtId="165" fontId="36" fillId="0" borderId="17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0" fontId="24" fillId="0" borderId="14" xfId="0" applyNumberFormat="1" applyFont="1" applyBorder="1" applyAlignment="1">
      <alignment horizontal="center" vertical="center"/>
    </xf>
    <xf numFmtId="165" fontId="2" fillId="11" borderId="30" xfId="0" applyNumberFormat="1" applyFont="1" applyFill="1" applyBorder="1" applyAlignment="1">
      <alignment horizontal="center" vertical="center" wrapText="1"/>
    </xf>
    <xf numFmtId="165" fontId="37" fillId="0" borderId="17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1" fontId="24" fillId="0" borderId="14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/>
    </xf>
    <xf numFmtId="175" fontId="2" fillId="0" borderId="14" xfId="0" applyNumberFormat="1" applyFont="1" applyBorder="1" applyAlignment="1">
      <alignment horizontal="center" vertical="center"/>
    </xf>
    <xf numFmtId="175" fontId="24" fillId="0" borderId="14" xfId="0" applyNumberFormat="1" applyFont="1" applyBorder="1" applyAlignment="1">
      <alignment horizontal="center" vertical="center"/>
    </xf>
    <xf numFmtId="0" fontId="24" fillId="11" borderId="30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165" fontId="2" fillId="0" borderId="16" xfId="0" applyNumberFormat="1" applyFont="1" applyBorder="1" applyAlignment="1">
      <alignment horizontal="center" vertical="center" wrapText="1"/>
    </xf>
    <xf numFmtId="1" fontId="24" fillId="0" borderId="16" xfId="0" applyNumberFormat="1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5" fontId="36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2" fillId="7" borderId="14" xfId="0" applyFont="1" applyFill="1" applyBorder="1" applyAlignment="1">
      <alignment vertical="center"/>
    </xf>
    <xf numFmtId="0" fontId="2" fillId="7" borderId="14" xfId="0" applyFont="1" applyFill="1" applyBorder="1" applyAlignment="1">
      <alignment horizontal="center" vertical="center"/>
    </xf>
    <xf numFmtId="165" fontId="2" fillId="7" borderId="14" xfId="0" applyNumberFormat="1" applyFont="1" applyFill="1" applyBorder="1" applyAlignment="1">
      <alignment horizontal="center" vertical="center"/>
    </xf>
    <xf numFmtId="165" fontId="24" fillId="7" borderId="14" xfId="0" applyNumberFormat="1" applyFont="1" applyFill="1" applyBorder="1" applyAlignment="1">
      <alignment horizontal="center" vertical="center"/>
    </xf>
    <xf numFmtId="0" fontId="22" fillId="11" borderId="0" xfId="0" applyFont="1" applyFill="1" applyAlignment="1">
      <alignment horizontal="center" vertical="center"/>
    </xf>
    <xf numFmtId="1" fontId="22" fillId="10" borderId="0" xfId="0" applyNumberFormat="1" applyFont="1" applyFill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/>
    </xf>
    <xf numFmtId="1" fontId="22" fillId="10" borderId="15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/>
    </xf>
    <xf numFmtId="168" fontId="2" fillId="0" borderId="17" xfId="0" applyNumberFormat="1" applyFont="1" applyBorder="1" applyAlignment="1">
      <alignment horizontal="center" vertical="center"/>
    </xf>
    <xf numFmtId="168" fontId="2" fillId="0" borderId="17" xfId="0" applyNumberFormat="1" applyFont="1" applyBorder="1" applyAlignment="1">
      <alignment horizontal="center" vertical="center" wrapText="1"/>
    </xf>
    <xf numFmtId="168" fontId="3" fillId="0" borderId="16" xfId="0" applyNumberFormat="1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8" fontId="2" fillId="0" borderId="7" xfId="0" applyNumberFormat="1" applyFont="1" applyBorder="1" applyAlignment="1">
      <alignment horizontal="center" vertical="center" wrapText="1"/>
    </xf>
    <xf numFmtId="0" fontId="22" fillId="11" borderId="15" xfId="0" applyFont="1" applyFill="1" applyBorder="1" applyAlignment="1">
      <alignment vertical="center"/>
    </xf>
    <xf numFmtId="165" fontId="2" fillId="0" borderId="17" xfId="0" applyNumberFormat="1" applyFont="1" applyBorder="1" applyAlignment="1">
      <alignment horizontal="center" vertical="center"/>
    </xf>
    <xf numFmtId="165" fontId="3" fillId="0" borderId="16" xfId="0" applyNumberFormat="1" applyFont="1" applyBorder="1" applyAlignment="1">
      <alignment horizontal="center" vertical="center" wrapText="1"/>
    </xf>
    <xf numFmtId="168" fontId="3" fillId="0" borderId="7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168" fontId="3" fillId="0" borderId="14" xfId="0" applyNumberFormat="1" applyFont="1" applyBorder="1" applyAlignment="1">
      <alignment horizontal="center" vertical="center"/>
    </xf>
    <xf numFmtId="9" fontId="3" fillId="15" borderId="15" xfId="2" applyFont="1" applyFill="1" applyBorder="1" applyAlignment="1" applyProtection="1">
      <alignment horizontal="center" vertical="center"/>
    </xf>
    <xf numFmtId="0" fontId="2" fillId="16" borderId="15" xfId="0" applyFont="1" applyFill="1" applyBorder="1" applyAlignment="1">
      <alignment horizontal="center" vertical="center"/>
    </xf>
    <xf numFmtId="0" fontId="2" fillId="21" borderId="15" xfId="0" applyFont="1" applyFill="1" applyBorder="1" applyAlignment="1">
      <alignment horizontal="center" vertical="center"/>
    </xf>
    <xf numFmtId="10" fontId="2" fillId="21" borderId="15" xfId="0" applyNumberFormat="1" applyFont="1" applyFill="1" applyBorder="1" applyAlignment="1">
      <alignment horizontal="center" vertical="center" wrapText="1"/>
    </xf>
    <xf numFmtId="0" fontId="2" fillId="18" borderId="15" xfId="0" applyFont="1" applyFill="1" applyBorder="1" applyAlignment="1">
      <alignment horizontal="center" vertical="center"/>
    </xf>
    <xf numFmtId="10" fontId="2" fillId="18" borderId="15" xfId="2" applyNumberFormat="1" applyFont="1" applyFill="1" applyBorder="1" applyAlignment="1" applyProtection="1">
      <alignment horizontal="center" vertical="center" wrapText="1"/>
    </xf>
    <xf numFmtId="0" fontId="2" fillId="13" borderId="15" xfId="0" applyFont="1" applyFill="1" applyBorder="1" applyAlignment="1">
      <alignment horizontal="center" vertical="center"/>
    </xf>
    <xf numFmtId="165" fontId="2" fillId="13" borderId="15" xfId="0" applyNumberFormat="1" applyFont="1" applyFill="1" applyBorder="1" applyAlignment="1">
      <alignment horizontal="center" vertical="center" wrapText="1"/>
    </xf>
    <xf numFmtId="9" fontId="2" fillId="13" borderId="15" xfId="2" applyFont="1" applyFill="1" applyBorder="1" applyAlignment="1" applyProtection="1">
      <alignment horizontal="center" vertical="center" wrapText="1"/>
    </xf>
    <xf numFmtId="174" fontId="2" fillId="13" borderId="15" xfId="2" applyNumberFormat="1" applyFont="1" applyFill="1" applyBorder="1" applyAlignment="1" applyProtection="1">
      <alignment horizontal="center" vertical="center" wrapText="1"/>
    </xf>
    <xf numFmtId="168" fontId="2" fillId="15" borderId="15" xfId="0" applyNumberFormat="1" applyFont="1" applyFill="1" applyBorder="1" applyAlignment="1">
      <alignment horizontal="center" vertical="center" wrapText="1"/>
    </xf>
    <xf numFmtId="174" fontId="3" fillId="22" borderId="15" xfId="0" applyNumberFormat="1" applyFont="1" applyFill="1" applyBorder="1" applyAlignment="1" applyProtection="1">
      <alignment horizontal="center" vertical="center"/>
      <protection locked="0"/>
    </xf>
    <xf numFmtId="0" fontId="23" fillId="11" borderId="0" xfId="0" applyFont="1" applyFill="1" applyAlignment="1">
      <alignment horizontal="center" vertical="center"/>
    </xf>
    <xf numFmtId="0" fontId="25" fillId="12" borderId="0" xfId="0" applyFont="1" applyFill="1" applyAlignment="1">
      <alignment horizontal="center" vertical="center"/>
    </xf>
    <xf numFmtId="0" fontId="35" fillId="12" borderId="0" xfId="0" applyFont="1" applyFill="1" applyAlignment="1">
      <alignment horizontal="center" vertical="center"/>
    </xf>
    <xf numFmtId="0" fontId="22" fillId="10" borderId="0" xfId="0" applyFont="1" applyFill="1" applyAlignment="1">
      <alignment horizontal="center" vertical="center"/>
    </xf>
    <xf numFmtId="168" fontId="24" fillId="10" borderId="0" xfId="0" applyNumberFormat="1" applyFont="1" applyFill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9" fontId="3" fillId="0" borderId="0" xfId="2" applyFont="1" applyFill="1" applyBorder="1" applyAlignment="1" applyProtection="1">
      <alignment horizontal="center" vertical="center"/>
    </xf>
    <xf numFmtId="1" fontId="22" fillId="10" borderId="0" xfId="0" applyNumberFormat="1" applyFont="1" applyFill="1" applyAlignment="1">
      <alignment horizontal="center" vertical="center"/>
    </xf>
    <xf numFmtId="9" fontId="22" fillId="1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0" fillId="12" borderId="0" xfId="0" applyFont="1" applyFill="1" applyAlignment="1">
      <alignment horizontal="center" vertical="center"/>
    </xf>
    <xf numFmtId="0" fontId="31" fillId="14" borderId="0" xfId="0" applyFont="1" applyFill="1" applyAlignment="1">
      <alignment horizontal="center" vertical="center"/>
    </xf>
    <xf numFmtId="0" fontId="30" fillId="14" borderId="0" xfId="0" applyFont="1" applyFill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0" fillId="12" borderId="2" xfId="0" applyFont="1" applyFill="1" applyBorder="1" applyAlignment="1">
      <alignment horizontal="center" vertical="center"/>
    </xf>
    <xf numFmtId="0" fontId="23" fillId="11" borderId="0" xfId="0" applyFont="1" applyFill="1" applyAlignment="1">
      <alignment horizontal="center" vertical="center"/>
    </xf>
    <xf numFmtId="0" fontId="25" fillId="12" borderId="0" xfId="0" applyFont="1" applyFill="1" applyAlignment="1">
      <alignment horizontal="center" vertical="center"/>
    </xf>
    <xf numFmtId="1" fontId="40" fillId="12" borderId="2" xfId="0" applyNumberFormat="1" applyFont="1" applyFill="1" applyBorder="1" applyAlignment="1">
      <alignment horizontal="center" vertical="center"/>
    </xf>
    <xf numFmtId="1" fontId="40" fillId="12" borderId="0" xfId="0" applyNumberFormat="1" applyFont="1" applyFill="1" applyAlignment="1">
      <alignment horizontal="center" vertical="center"/>
    </xf>
    <xf numFmtId="0" fontId="35" fillId="12" borderId="0" xfId="0" applyFont="1" applyFill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" fontId="22" fillId="10" borderId="0" xfId="0" applyNumberFormat="1" applyFont="1" applyFill="1" applyAlignment="1">
      <alignment horizontal="center" vertical="center"/>
    </xf>
    <xf numFmtId="0" fontId="22" fillId="10" borderId="0" xfId="0" applyFont="1" applyFill="1" applyAlignment="1">
      <alignment horizontal="center" vertical="center" wrapText="1"/>
    </xf>
    <xf numFmtId="0" fontId="22" fillId="10" borderId="0" xfId="0" applyFont="1" applyFill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65" fontId="2" fillId="0" borderId="20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9" fontId="3" fillId="0" borderId="0" xfId="2" applyFont="1" applyFill="1" applyBorder="1" applyAlignment="1" applyProtection="1">
      <alignment horizontal="center" vertical="center"/>
    </xf>
    <xf numFmtId="9" fontId="22" fillId="10" borderId="0" xfId="0" applyNumberFormat="1" applyFont="1" applyFill="1" applyAlignment="1">
      <alignment horizontal="center" vertical="center"/>
    </xf>
    <xf numFmtId="168" fontId="24" fillId="0" borderId="0" xfId="0" applyNumberFormat="1" applyFont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168" fontId="24" fillId="10" borderId="0" xfId="0" applyNumberFormat="1" applyFont="1" applyFill="1" applyAlignment="1">
      <alignment horizontal="center" vertical="center"/>
    </xf>
    <xf numFmtId="0" fontId="28" fillId="13" borderId="7" xfId="0" applyFont="1" applyFill="1" applyBorder="1" applyAlignment="1">
      <alignment horizontal="center" vertical="center"/>
    </xf>
    <xf numFmtId="0" fontId="28" fillId="13" borderId="13" xfId="0" applyFont="1" applyFill="1" applyBorder="1" applyAlignment="1">
      <alignment horizontal="center" vertical="center"/>
    </xf>
    <xf numFmtId="0" fontId="23" fillId="11" borderId="5" xfId="0" applyFont="1" applyFill="1" applyBorder="1" applyAlignment="1">
      <alignment horizontal="center" vertical="center"/>
    </xf>
    <xf numFmtId="0" fontId="28" fillId="9" borderId="7" xfId="0" applyFont="1" applyFill="1" applyBorder="1" applyAlignment="1">
      <alignment horizontal="center" vertical="center"/>
    </xf>
    <xf numFmtId="0" fontId="25" fillId="12" borderId="10" xfId="0" applyFont="1" applyFill="1" applyBorder="1" applyAlignment="1">
      <alignment horizontal="center" vertical="center"/>
    </xf>
    <xf numFmtId="0" fontId="25" fillId="12" borderId="2" xfId="0" applyFont="1" applyFill="1" applyBorder="1" applyAlignment="1">
      <alignment horizontal="center" vertical="center"/>
    </xf>
    <xf numFmtId="0" fontId="22" fillId="11" borderId="15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1" fontId="19" fillId="20" borderId="1" xfId="0" applyNumberFormat="1" applyFont="1" applyFill="1" applyBorder="1" applyAlignment="1">
      <alignment horizontal="center" vertical="center"/>
    </xf>
    <xf numFmtId="0" fontId="19" fillId="20" borderId="7" xfId="0" applyFont="1" applyFill="1" applyBorder="1" applyAlignment="1">
      <alignment horizontal="center" vertical="center"/>
    </xf>
    <xf numFmtId="0" fontId="19" fillId="20" borderId="13" xfId="0" applyFont="1" applyFill="1" applyBorder="1" applyAlignment="1">
      <alignment horizontal="center" vertical="center"/>
    </xf>
    <xf numFmtId="0" fontId="19" fillId="20" borderId="4" xfId="0" applyFont="1" applyFill="1" applyBorder="1" applyAlignment="1">
      <alignment horizontal="center" vertical="center"/>
    </xf>
    <xf numFmtId="0" fontId="19" fillId="20" borderId="5" xfId="0" applyFont="1" applyFill="1" applyBorder="1" applyAlignment="1">
      <alignment horizontal="center" vertical="center"/>
    </xf>
    <xf numFmtId="0" fontId="19" fillId="20" borderId="6" xfId="0" applyFont="1" applyFill="1" applyBorder="1" applyAlignment="1">
      <alignment horizontal="center" vertical="center"/>
    </xf>
  </cellXfs>
  <cellStyles count="4">
    <cellStyle name="Migliaia" xfId="3" builtinId="3"/>
    <cellStyle name="Normale" xfId="0" builtinId="0"/>
    <cellStyle name="Normale 2" xfId="1" xr:uid="{00000000-0005-0000-0000-000001000000}"/>
    <cellStyle name="Percentuale" xfId="2" builtinId="5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HR!$A$3</c:f>
          <c:strCache>
            <c:ptCount val="1"/>
            <c:pt idx="0">
              <c:v>Employees cost - Details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HR!$K$5:$P$5</c15:sqref>
                  </c15:fullRef>
                </c:ext>
              </c:extLst>
              <c:f>(HR!$K$5,HR!$M$5:$P$5)</c:f>
              <c:strCache>
                <c:ptCount val="5"/>
                <c:pt idx="0">
                  <c:v>€ 2025</c:v>
                </c:pt>
                <c:pt idx="1">
                  <c:v>€ 2026</c:v>
                </c:pt>
                <c:pt idx="2">
                  <c:v>€ 2027</c:v>
                </c:pt>
                <c:pt idx="3">
                  <c:v>€ 2028</c:v>
                </c:pt>
                <c:pt idx="4">
                  <c:v>€ 2029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HR!$K$23:$P$23</c15:sqref>
                  </c15:fullRef>
                </c:ext>
              </c:extLst>
              <c:f>(HR!$K$23,HR!$M$23:$P$23)</c:f>
              <c:numCache>
                <c:formatCode>"€"\ #,##0.00</c:formatCode>
                <c:ptCount val="5"/>
                <c:pt idx="0">
                  <c:v>162324.65</c:v>
                </c:pt>
                <c:pt idx="1">
                  <c:v>178557.11500000005</c:v>
                </c:pt>
                <c:pt idx="2">
                  <c:v>187484.97075000001</c:v>
                </c:pt>
                <c:pt idx="3">
                  <c:v>196859.21928750002</c:v>
                </c:pt>
                <c:pt idx="4">
                  <c:v>206702.18025187499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5D-494A-A1BE-C57D76257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1926879"/>
        <c:axId val="921467455"/>
      </c:barChart>
      <c:catAx>
        <c:axId val="51192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467455"/>
        <c:crosses val="autoZero"/>
        <c:auto val="1"/>
        <c:lblAlgn val="ctr"/>
        <c:lblOffset val="100"/>
        <c:noMultiLvlLbl val="0"/>
      </c:catAx>
      <c:valAx>
        <c:axId val="92146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1926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Inv.!$A$99</c:f>
              <c:strCache>
                <c:ptCount val="1"/>
                <c:pt idx="0">
                  <c:v>Coverage of financial needs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0334-4C39-95B8-ED1D9A20C45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334-4C39-95B8-ED1D9A20C45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0334-4C39-95B8-ED1D9A20C45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334-4C39-95B8-ED1D9A20C45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0334-4C39-95B8-ED1D9A20C45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334-4C39-95B8-ED1D9A20C45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0334-4C39-95B8-ED1D9A20C45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0334-4C39-95B8-ED1D9A20C45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0334-4C39-95B8-ED1D9A20C45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0334-4C39-95B8-ED1D9A20C45E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34-4C39-95B8-ED1D9A20C45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34-4C39-95B8-ED1D9A20C45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334-4C39-95B8-ED1D9A20C45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334-4C39-95B8-ED1D9A20C45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334-4C39-95B8-ED1D9A20C45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334-4C39-95B8-ED1D9A20C45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Inv.!$A$100:$A$109</c:f>
              <c:strCache>
                <c:ptCount val="10"/>
                <c:pt idx="0">
                  <c:v>Equity</c:v>
                </c:pt>
                <c:pt idx="1">
                  <c:v>Mortgages</c:v>
                </c:pt>
                <c:pt idx="2">
                  <c:v>Venture loans</c:v>
                </c:pt>
                <c:pt idx="3">
                  <c:v>Leasing</c:v>
                </c:pt>
                <c:pt idx="4">
                  <c:v>Cash flow</c:v>
                </c:pt>
                <c:pt idx="5">
                  <c:v>Others</c:v>
                </c:pt>
                <c:pt idx="6">
                  <c:v>Others</c:v>
                </c:pt>
                <c:pt idx="7">
                  <c:v>Others</c:v>
                </c:pt>
                <c:pt idx="8">
                  <c:v>Others</c:v>
                </c:pt>
                <c:pt idx="9">
                  <c:v>Others</c:v>
                </c:pt>
              </c:strCache>
            </c:strRef>
          </c:cat>
          <c:val>
            <c:numRef>
              <c:f>Inv.!$C$100:$C$109</c:f>
              <c:numCache>
                <c:formatCode>0.00%</c:formatCode>
                <c:ptCount val="1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34-4C39-95B8-ED1D9A20C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63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Bep!$A$3</c:f>
          <c:strCache>
            <c:ptCount val="1"/>
            <c:pt idx="0">
              <c:v>Break even point Analysis</c:v>
            </c:pt>
          </c:strCache>
        </c:strRef>
      </c:tx>
      <c:layout>
        <c:manualLayout>
          <c:xMode val="edge"/>
          <c:yMode val="edge"/>
          <c:x val="0.372278090779465"/>
          <c:y val="8.9686098654708519E-3"/>
        </c:manualLayout>
      </c:layout>
      <c:overlay val="0"/>
      <c:txPr>
        <a:bodyPr/>
        <a:lstStyle/>
        <a:p>
          <a:pPr>
            <a:defRPr sz="960" b="1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028760188169995"/>
          <c:y val="6.7757965231924483E-2"/>
          <c:w val="0.7986938564112005"/>
          <c:h val="0.86770288243117588"/>
        </c:manualLayout>
      </c:layout>
      <c:scatterChart>
        <c:scatterStyle val="lineMarker"/>
        <c:varyColors val="0"/>
        <c:ser>
          <c:idx val="0"/>
          <c:order val="0"/>
          <c:tx>
            <c:strRef>
              <c:f>Bep!$C$10</c:f>
              <c:strCache>
                <c:ptCount val="1"/>
                <c:pt idx="0">
                  <c:v>Revenues</c:v>
                </c:pt>
              </c:strCache>
            </c:strRef>
          </c:tx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AD-4B57-8690-53BBF9CD7CA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AD-4B57-8690-53BBF9CD7CA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Bep!$A$11:$A$13</c:f>
              <c:numCache>
                <c:formatCode>#,##0</c:formatCode>
                <c:ptCount val="3"/>
                <c:pt idx="0">
                  <c:v>0</c:v>
                </c:pt>
                <c:pt idx="1">
                  <c:v>60585.009594566349</c:v>
                </c:pt>
                <c:pt idx="2">
                  <c:v>92092</c:v>
                </c:pt>
              </c:numCache>
            </c:numRef>
          </c:xVal>
          <c:yVal>
            <c:numRef>
              <c:f>Bep!$C$11:$C$13</c:f>
              <c:numCache>
                <c:formatCode>"€"\ #,##0</c:formatCode>
                <c:ptCount val="3"/>
                <c:pt idx="0">
                  <c:v>0</c:v>
                </c:pt>
                <c:pt idx="1">
                  <c:v>495695.5330464518</c:v>
                </c:pt>
                <c:pt idx="2">
                  <c:v>753479.99999999977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EAD-4B57-8690-53BBF9CD7CA5}"/>
            </c:ext>
          </c:extLst>
        </c:ser>
        <c:ser>
          <c:idx val="1"/>
          <c:order val="1"/>
          <c:tx>
            <c:strRef>
              <c:f>Bep!$B$10</c:f>
              <c:strCache>
                <c:ptCount val="1"/>
                <c:pt idx="0">
                  <c:v>Costs</c:v>
                </c:pt>
              </c:strCache>
            </c:strRef>
          </c:tx>
          <c:xVal>
            <c:numRef>
              <c:f>Bep!$A$11:$A$13</c:f>
              <c:numCache>
                <c:formatCode>#,##0</c:formatCode>
                <c:ptCount val="3"/>
                <c:pt idx="0">
                  <c:v>0</c:v>
                </c:pt>
                <c:pt idx="1">
                  <c:v>60585.009594566349</c:v>
                </c:pt>
                <c:pt idx="2">
                  <c:v>92092</c:v>
                </c:pt>
              </c:numCache>
            </c:numRef>
          </c:xVal>
          <c:yVal>
            <c:numRef>
              <c:f>Bep!$B$11:$B$13</c:f>
              <c:numCache>
                <c:formatCode>"€"\ #,##0</c:formatCode>
                <c:ptCount val="3"/>
                <c:pt idx="0">
                  <c:v>283390.19285714283</c:v>
                </c:pt>
                <c:pt idx="1">
                  <c:v>495695.53304645186</c:v>
                </c:pt>
                <c:pt idx="2">
                  <c:v>606104.07075454528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EAD-4B57-8690-53BBF9CD7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464840"/>
        <c:axId val="1"/>
      </c:scatterChart>
      <c:valAx>
        <c:axId val="446464840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/>
        <c:numFmt formatCode="&quot;€&quot;\ 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4646484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9655173410417155"/>
          <c:y val="0.49663783058507821"/>
          <c:w val="8.8196340040691212E-2"/>
          <c:h val="8.1838682720713762E-2"/>
        </c:manualLayout>
      </c:layout>
      <c:overlay val="0"/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Riclassificato!$A$2</c:f>
          <c:strCache>
            <c:ptCount val="1"/>
            <c:pt idx="0">
              <c:v>Budget e Business Plan</c:v>
            </c:pt>
          </c:strCache>
        </c:strRef>
      </c:tx>
      <c:layout>
        <c:manualLayout>
          <c:xMode val="edge"/>
          <c:yMode val="edge"/>
          <c:x val="0.35982629755611339"/>
          <c:y val="2.777769283693907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60" b="1" i="0" u="none" strike="noStrike" baseline="0">
              <a:solidFill>
                <a:srgbClr val="333333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Riclassificato!$A$21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rgbClr val="FFC0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Verdana"/>
                    <a:ea typeface="Verdana"/>
                    <a:cs typeface="Verdana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Riclassificato!$B$7:$G$7</c:f>
              <c:numCache>
                <c:formatCode>0</c:formatCode>
                <c:ptCount val="5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</c:numCache>
            </c:numRef>
          </c:cat>
          <c:val>
            <c:numRef>
              <c:f>Riclassificato!$B$21:$G$21</c:f>
              <c:numCache>
                <c:formatCode>"€"\ #,##0</c:formatCode>
                <c:ptCount val="5"/>
                <c:pt idx="0">
                  <c:v>249382.04599999989</c:v>
                </c:pt>
                <c:pt idx="1">
                  <c:v>265899.03329090902</c:v>
                </c:pt>
                <c:pt idx="2">
                  <c:v>280892.67324505444</c:v>
                </c:pt>
                <c:pt idx="3">
                  <c:v>311131.92478054942</c:v>
                </c:pt>
                <c:pt idx="4">
                  <c:v>338829.5197844911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C-4B27-94F0-97A02AF3B0B8}"/>
            </c:ext>
          </c:extLst>
        </c:ser>
        <c:ser>
          <c:idx val="1"/>
          <c:order val="1"/>
          <c:tx>
            <c:strRef>
              <c:f>Riclassificato!$A$24</c:f>
              <c:strCache>
                <c:ptCount val="1"/>
                <c:pt idx="0">
                  <c:v>EBIT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Verdana"/>
                    <a:ea typeface="Verdana"/>
                    <a:cs typeface="Verdana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Riclassificato!$B$7:$G$7</c:f>
              <c:numCache>
                <c:formatCode>0</c:formatCode>
                <c:ptCount val="5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</c:numCache>
            </c:numRef>
          </c:cat>
          <c:val>
            <c:numRef>
              <c:f>Riclassificato!$B$24:$G$24</c:f>
              <c:numCache>
                <c:formatCode>"€"\ #,##0</c:formatCode>
                <c:ptCount val="5"/>
                <c:pt idx="0">
                  <c:v>213596.50314285702</c:v>
                </c:pt>
                <c:pt idx="1">
                  <c:v>230113.49043376616</c:v>
                </c:pt>
                <c:pt idx="2">
                  <c:v>245107.13038791157</c:v>
                </c:pt>
                <c:pt idx="3">
                  <c:v>275346.38192340656</c:v>
                </c:pt>
                <c:pt idx="4">
                  <c:v>303043.97692734824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8C-4B27-94F0-97A02AF3B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6468448"/>
        <c:axId val="1"/>
      </c:barChart>
      <c:lineChart>
        <c:grouping val="standard"/>
        <c:varyColors val="0"/>
        <c:ser>
          <c:idx val="2"/>
          <c:order val="2"/>
          <c:tx>
            <c:strRef>
              <c:f>Riclassificato!$A$32</c:f>
              <c:strCache>
                <c:ptCount val="1"/>
                <c:pt idx="0">
                  <c:v>Profit after taxes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Riclassificato!$B$9:$G$9</c:f>
              <c:strCache>
                <c:ptCount val="5"/>
                <c:pt idx="0">
                  <c:v>Budget</c:v>
                </c:pt>
                <c:pt idx="1">
                  <c:v>Budget</c:v>
                </c:pt>
                <c:pt idx="2">
                  <c:v>Budget</c:v>
                </c:pt>
                <c:pt idx="3">
                  <c:v>Budget</c:v>
                </c:pt>
                <c:pt idx="4">
                  <c:v>Budget</c:v>
                </c:pt>
              </c:strCache>
            </c:strRef>
          </c:cat>
          <c:val>
            <c:numRef>
              <c:f>Riclassificato!$B$32:$G$32</c:f>
              <c:numCache>
                <c:formatCode>"€"\ #,##0</c:formatCode>
                <c:ptCount val="5"/>
                <c:pt idx="0">
                  <c:v>147375.92924545446</c:v>
                </c:pt>
                <c:pt idx="1">
                  <c:v>158781.22432272721</c:v>
                </c:pt>
                <c:pt idx="2">
                  <c:v>169114.76907239266</c:v>
                </c:pt>
                <c:pt idx="3">
                  <c:v>190114.68108786567</c:v>
                </c:pt>
                <c:pt idx="4">
                  <c:v>209329.71505775611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8C-4B27-94F0-97A02AF3B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468448"/>
        <c:axId val="1"/>
      </c:lineChart>
      <c:catAx>
        <c:axId val="44646844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333333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\ 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4646844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printSettings>
    <c:headerFooter/>
    <c:pageMargins b="0.75" l="0.7" r="0.7" t="0.75" header="0.3" footer="0.3"/>
    <c:pageSetup paperSize="9" orientation="landscape" horizontalDpi="-4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jpe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jpe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8.jpe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2.xml"/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9.jpeg"/><Relationship Id="rId1" Type="http://schemas.openxmlformats.org/officeDocument/2006/relationships/hyperlink" Target="#'Dati Azienda'!A1"/><Relationship Id="rId4" Type="http://schemas.openxmlformats.org/officeDocument/2006/relationships/chart" Target="../charts/chart3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4.xml"/><Relationship Id="rId1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128588</xdr:colOff>
      <xdr:row>1</xdr:row>
      <xdr:rowOff>128588</xdr:rowOff>
    </xdr:from>
    <xdr:to>
      <xdr:col>2</xdr:col>
      <xdr:colOff>514350</xdr:colOff>
      <xdr:row>1</xdr:row>
      <xdr:rowOff>457200</xdr:rowOff>
    </xdr:to>
    <xdr:pic>
      <xdr:nvPicPr>
        <xdr:cNvPr id="15669413" name="Immagine 6" descr="Logo 150 Nuovo 20130701">
          <a:extLst>
            <a:ext uri="{FF2B5EF4-FFF2-40B4-BE49-F238E27FC236}">
              <a16:creationId xmlns:a16="http://schemas.microsoft.com/office/drawing/2014/main" id="{32CD29CD-0D50-4AE0-98A3-3E35437F1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8" y="519113"/>
          <a:ext cx="1690687" cy="328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109538</xdr:colOff>
      <xdr:row>1</xdr:row>
      <xdr:rowOff>100013</xdr:rowOff>
    </xdr:from>
    <xdr:to>
      <xdr:col>15</xdr:col>
      <xdr:colOff>495300</xdr:colOff>
      <xdr:row>1</xdr:row>
      <xdr:rowOff>423863</xdr:rowOff>
    </xdr:to>
    <xdr:pic>
      <xdr:nvPicPr>
        <xdr:cNvPr id="15669415" name="Immagine 6" descr="Logo 150 Nuovo 20130701">
          <a:extLst>
            <a:ext uri="{FF2B5EF4-FFF2-40B4-BE49-F238E27FC236}">
              <a16:creationId xmlns:a16="http://schemas.microsoft.com/office/drawing/2014/main" id="{0CE612D9-90C9-4ED8-AB6B-5EB01FE56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490538"/>
          <a:ext cx="1690688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4</xdr:row>
      <xdr:rowOff>6053</xdr:rowOff>
    </xdr:from>
    <xdr:to>
      <xdr:col>15</xdr:col>
      <xdr:colOff>597253</xdr:colOff>
      <xdr:row>44</xdr:row>
      <xdr:rowOff>77611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012E48A-3F2A-6335-A880-58C7E39D8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0308" r="3555" b="5499"/>
        <a:stretch/>
      </xdr:blipFill>
      <xdr:spPr>
        <a:xfrm>
          <a:off x="1" y="1297220"/>
          <a:ext cx="10131777" cy="4869335"/>
        </a:xfrm>
        <a:prstGeom prst="rect">
          <a:avLst/>
        </a:prstGeom>
      </xdr:spPr>
    </xdr:pic>
    <xdr:clientData/>
  </xdr:twoCellAnchor>
  <xdr:oneCellAnchor>
    <xdr:from>
      <xdr:col>0</xdr:col>
      <xdr:colOff>148166</xdr:colOff>
      <xdr:row>40</xdr:row>
      <xdr:rowOff>28223</xdr:rowOff>
    </xdr:from>
    <xdr:ext cx="1872179" cy="295850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8FB056D2-77B1-47EE-996B-A60C79478DD4}"/>
            </a:ext>
          </a:extLst>
        </xdr:cNvPr>
        <xdr:cNvSpPr txBox="1"/>
      </xdr:nvSpPr>
      <xdr:spPr>
        <a:xfrm>
          <a:off x="148166" y="5637390"/>
          <a:ext cx="1872179" cy="295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300" i="1">
              <a:solidFill>
                <a:schemeClr val="tx1">
                  <a:lumMod val="65000"/>
                  <a:lumOff val="35000"/>
                </a:schemeClr>
              </a:solidFill>
            </a:rPr>
            <a:t>Economics and financials</a:t>
          </a:r>
        </a:p>
      </xdr:txBody>
    </xdr:sp>
    <xdr:clientData/>
  </xdr:oneCellAnchor>
  <xdr:twoCellAnchor editAs="oneCell">
    <xdr:from>
      <xdr:col>0</xdr:col>
      <xdr:colOff>1</xdr:colOff>
      <xdr:row>3</xdr:row>
      <xdr:rowOff>125998</xdr:rowOff>
    </xdr:from>
    <xdr:to>
      <xdr:col>0</xdr:col>
      <xdr:colOff>428626</xdr:colOff>
      <xdr:row>7</xdr:row>
      <xdr:rowOff>37098</xdr:rowOff>
    </xdr:to>
    <xdr:pic>
      <xdr:nvPicPr>
        <xdr:cNvPr id="8" name="Picture 3" descr="Logo 150 Nuovo">
          <a:extLst>
            <a:ext uri="{FF2B5EF4-FFF2-40B4-BE49-F238E27FC236}">
              <a16:creationId xmlns:a16="http://schemas.microsoft.com/office/drawing/2014/main" id="{78144840-39FB-4854-BFFA-40A3D4A0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51" t="85519"/>
        <a:stretch>
          <a:fillRect/>
        </a:stretch>
      </xdr:blipFill>
      <xdr:spPr bwMode="auto">
        <a:xfrm>
          <a:off x="1" y="1290165"/>
          <a:ext cx="428625" cy="397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627945</xdr:colOff>
      <xdr:row>44</xdr:row>
      <xdr:rowOff>70556</xdr:rowOff>
    </xdr:from>
    <xdr:to>
      <xdr:col>15</xdr:col>
      <xdr:colOff>254000</xdr:colOff>
      <xdr:row>48</xdr:row>
      <xdr:rowOff>105834</xdr:rowOff>
    </xdr:to>
    <xdr:sp macro="" textlink="">
      <xdr:nvSpPr>
        <xdr:cNvPr id="10" name="Rettangolo 9">
          <a:extLst>
            <a:ext uri="{FF2B5EF4-FFF2-40B4-BE49-F238E27FC236}">
              <a16:creationId xmlns:a16="http://schemas.microsoft.com/office/drawing/2014/main" id="{813CD0FF-1472-59D6-D43E-BE608FF71377}"/>
            </a:ext>
          </a:extLst>
        </xdr:cNvPr>
        <xdr:cNvSpPr/>
      </xdr:nvSpPr>
      <xdr:spPr>
        <a:xfrm>
          <a:off x="8882945" y="6159500"/>
          <a:ext cx="896055" cy="515056"/>
        </a:xfrm>
        <a:prstGeom prst="rect">
          <a:avLst/>
        </a:prstGeom>
        <a:solidFill>
          <a:schemeClr val="bg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2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1685925</xdr:colOff>
      <xdr:row>1</xdr:row>
      <xdr:rowOff>28575</xdr:rowOff>
    </xdr:from>
    <xdr:to>
      <xdr:col>1</xdr:col>
      <xdr:colOff>1685925</xdr:colOff>
      <xdr:row>1</xdr:row>
      <xdr:rowOff>209550</xdr:rowOff>
    </xdr:to>
    <xdr:pic>
      <xdr:nvPicPr>
        <xdr:cNvPr id="15670371" name="Immagine 13" descr="logo.gif">
          <a:extLst>
            <a:ext uri="{FF2B5EF4-FFF2-40B4-BE49-F238E27FC236}">
              <a16:creationId xmlns:a16="http://schemas.microsoft.com/office/drawing/2014/main" id="{D15FB7D3-2C9E-4298-9AD4-D78BBB31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4095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214313</xdr:colOff>
      <xdr:row>1</xdr:row>
      <xdr:rowOff>104775</xdr:rowOff>
    </xdr:from>
    <xdr:to>
      <xdr:col>0</xdr:col>
      <xdr:colOff>1905000</xdr:colOff>
      <xdr:row>1</xdr:row>
      <xdr:rowOff>447675</xdr:rowOff>
    </xdr:to>
    <xdr:pic>
      <xdr:nvPicPr>
        <xdr:cNvPr id="15670372" name="Immagine 4" descr="Logo 150 Nuovo 20130701">
          <a:extLst>
            <a:ext uri="{FF2B5EF4-FFF2-40B4-BE49-F238E27FC236}">
              <a16:creationId xmlns:a16="http://schemas.microsoft.com/office/drawing/2014/main" id="{EC46934C-1B9C-4735-8361-1521ADFF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3" y="485775"/>
          <a:ext cx="1690687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2057401</xdr:colOff>
      <xdr:row>1</xdr:row>
      <xdr:rowOff>44450</xdr:rowOff>
    </xdr:from>
    <xdr:to>
      <xdr:col>4</xdr:col>
      <xdr:colOff>654050</xdr:colOff>
      <xdr:row>1</xdr:row>
      <xdr:rowOff>499834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8A91E64-0A37-4D0A-B479-FD0083EF58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88180" r="44389" b="5499"/>
        <a:stretch/>
      </xdr:blipFill>
      <xdr:spPr>
        <a:xfrm>
          <a:off x="11207751" y="260350"/>
          <a:ext cx="1365249" cy="455384"/>
        </a:xfrm>
        <a:prstGeom prst="rect">
          <a:avLst/>
        </a:prstGeom>
      </xdr:spPr>
    </xdr:pic>
    <xdr:clientData/>
  </xdr:twoCellAnchor>
  <xdr:twoCellAnchor editAs="oneCell">
    <xdr:from>
      <xdr:col>5</xdr:col>
      <xdr:colOff>1974850</xdr:colOff>
      <xdr:row>1</xdr:row>
      <xdr:rowOff>31750</xdr:rowOff>
    </xdr:from>
    <xdr:to>
      <xdr:col>5</xdr:col>
      <xdr:colOff>2444751</xdr:colOff>
      <xdr:row>1</xdr:row>
      <xdr:rowOff>495136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0FA1A64-10C3-4DC5-B7F0-54D0A861E3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75813" r="44389" b="5499"/>
        <a:stretch/>
      </xdr:blipFill>
      <xdr:spPr>
        <a:xfrm>
          <a:off x="16662400" y="247650"/>
          <a:ext cx="469901" cy="4633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130175</xdr:rowOff>
    </xdr:from>
    <xdr:to>
      <xdr:col>2</xdr:col>
      <xdr:colOff>222250</xdr:colOff>
      <xdr:row>1</xdr:row>
      <xdr:rowOff>422070</xdr:rowOff>
    </xdr:to>
    <xdr:pic>
      <xdr:nvPicPr>
        <xdr:cNvPr id="5" name="Immagine 4" descr="Logo 150 Nuovo 20130701">
          <a:extLst>
            <a:ext uri="{FF2B5EF4-FFF2-40B4-BE49-F238E27FC236}">
              <a16:creationId xmlns:a16="http://schemas.microsoft.com/office/drawing/2014/main" id="{13DD4297-C5F2-4A6C-BE7B-D3B83835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46075"/>
          <a:ext cx="1508125" cy="291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247650</xdr:colOff>
      <xdr:row>1</xdr:row>
      <xdr:rowOff>57150</xdr:rowOff>
    </xdr:from>
    <xdr:to>
      <xdr:col>15</xdr:col>
      <xdr:colOff>717551</xdr:colOff>
      <xdr:row>1</xdr:row>
      <xdr:rowOff>520536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5E054FA-FFBA-4589-84E0-1D4A6B7CC3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03" t="75813" r="44389" b="5499"/>
        <a:stretch/>
      </xdr:blipFill>
      <xdr:spPr>
        <a:xfrm>
          <a:off x="10445750" y="273050"/>
          <a:ext cx="469901" cy="463386"/>
        </a:xfrm>
        <a:prstGeom prst="rect">
          <a:avLst/>
        </a:prstGeom>
      </xdr:spPr>
    </xdr:pic>
    <xdr:clientData/>
  </xdr:twoCellAnchor>
  <xdr:twoCellAnchor editAs="oneCell">
    <xdr:from>
      <xdr:col>11</xdr:col>
      <xdr:colOff>387350</xdr:colOff>
      <xdr:row>1</xdr:row>
      <xdr:rowOff>57150</xdr:rowOff>
    </xdr:from>
    <xdr:to>
      <xdr:col>13</xdr:col>
      <xdr:colOff>82549</xdr:colOff>
      <xdr:row>1</xdr:row>
      <xdr:rowOff>512534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6F442E3-4D3F-4934-AC8C-46E6CD5552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03" t="88180" r="44389" b="5499"/>
        <a:stretch/>
      </xdr:blipFill>
      <xdr:spPr>
        <a:xfrm>
          <a:off x="7099300" y="273050"/>
          <a:ext cx="1365249" cy="45538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3175</xdr:rowOff>
    </xdr:from>
    <xdr:to>
      <xdr:col>15</xdr:col>
      <xdr:colOff>901700</xdr:colOff>
      <xdr:row>44</xdr:row>
      <xdr:rowOff>47625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4E30540-A655-7976-3711-37300E55BF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1685925</xdr:colOff>
      <xdr:row>1</xdr:row>
      <xdr:rowOff>28575</xdr:rowOff>
    </xdr:from>
    <xdr:to>
      <xdr:col>1</xdr:col>
      <xdr:colOff>1685925</xdr:colOff>
      <xdr:row>1</xdr:row>
      <xdr:rowOff>209550</xdr:rowOff>
    </xdr:to>
    <xdr:pic>
      <xdr:nvPicPr>
        <xdr:cNvPr id="15672485" name="Immagine 13" descr="logo.gif">
          <a:extLst>
            <a:ext uri="{FF2B5EF4-FFF2-40B4-BE49-F238E27FC236}">
              <a16:creationId xmlns:a16="http://schemas.microsoft.com/office/drawing/2014/main" id="{3E9277C2-0498-4592-8A43-7BF85D0D4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4095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1685925</xdr:colOff>
      <xdr:row>34</xdr:row>
      <xdr:rowOff>0</xdr:rowOff>
    </xdr:from>
    <xdr:to>
      <xdr:col>1</xdr:col>
      <xdr:colOff>1685925</xdr:colOff>
      <xdr:row>90</xdr:row>
      <xdr:rowOff>180975</xdr:rowOff>
    </xdr:to>
    <xdr:pic>
      <xdr:nvPicPr>
        <xdr:cNvPr id="15672486" name="Immagine 13" descr="logo.gif">
          <a:extLst>
            <a:ext uri="{FF2B5EF4-FFF2-40B4-BE49-F238E27FC236}">
              <a16:creationId xmlns:a16="http://schemas.microsoft.com/office/drawing/2014/main" id="{3B8CD563-AFC6-4669-93A4-76619D766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75628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1685925</xdr:colOff>
      <xdr:row>62</xdr:row>
      <xdr:rowOff>0</xdr:rowOff>
    </xdr:from>
    <xdr:to>
      <xdr:col>1</xdr:col>
      <xdr:colOff>1685925</xdr:colOff>
      <xdr:row>90</xdr:row>
      <xdr:rowOff>180975</xdr:rowOff>
    </xdr:to>
    <xdr:pic>
      <xdr:nvPicPr>
        <xdr:cNvPr id="15672487" name="Immagine 13" descr="logo.gif">
          <a:extLst>
            <a:ext uri="{FF2B5EF4-FFF2-40B4-BE49-F238E27FC236}">
              <a16:creationId xmlns:a16="http://schemas.microsoft.com/office/drawing/2014/main" id="{E3D33074-54E8-49C2-95D5-F74B61586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345882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138113</xdr:colOff>
      <xdr:row>1</xdr:row>
      <xdr:rowOff>100011</xdr:rowOff>
    </xdr:from>
    <xdr:to>
      <xdr:col>0</xdr:col>
      <xdr:colOff>1828800</xdr:colOff>
      <xdr:row>1</xdr:row>
      <xdr:rowOff>442911</xdr:rowOff>
    </xdr:to>
    <xdr:pic>
      <xdr:nvPicPr>
        <xdr:cNvPr id="15672488" name="Immagine 4" descr="Logo 150 Nuovo 20130701">
          <a:extLst>
            <a:ext uri="{FF2B5EF4-FFF2-40B4-BE49-F238E27FC236}">
              <a16:creationId xmlns:a16="http://schemas.microsoft.com/office/drawing/2014/main" id="{32378018-CBAF-426C-B464-33210F3B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3" y="481011"/>
          <a:ext cx="1690687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1816100</xdr:colOff>
      <xdr:row>1</xdr:row>
      <xdr:rowOff>63500</xdr:rowOff>
    </xdr:from>
    <xdr:to>
      <xdr:col>3</xdr:col>
      <xdr:colOff>1238249</xdr:colOff>
      <xdr:row>1</xdr:row>
      <xdr:rowOff>518884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736EDA-75D4-4EB2-9CDB-7B48799D4D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88180" r="44389" b="5499"/>
        <a:stretch/>
      </xdr:blipFill>
      <xdr:spPr>
        <a:xfrm>
          <a:off x="8623300" y="444500"/>
          <a:ext cx="1365249" cy="455384"/>
        </a:xfrm>
        <a:prstGeom prst="rect">
          <a:avLst/>
        </a:prstGeom>
      </xdr:spPr>
    </xdr:pic>
    <xdr:clientData/>
  </xdr:twoCellAnchor>
  <xdr:twoCellAnchor editAs="oneCell">
    <xdr:from>
      <xdr:col>5</xdr:col>
      <xdr:colOff>901699</xdr:colOff>
      <xdr:row>1</xdr:row>
      <xdr:rowOff>50800</xdr:rowOff>
    </xdr:from>
    <xdr:to>
      <xdr:col>5</xdr:col>
      <xdr:colOff>1371600</xdr:colOff>
      <xdr:row>1</xdr:row>
      <xdr:rowOff>514186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76F9A83-55AD-40B7-962D-1F124CD0D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75813" r="44389" b="5499"/>
        <a:stretch/>
      </xdr:blipFill>
      <xdr:spPr>
        <a:xfrm>
          <a:off x="13538199" y="431800"/>
          <a:ext cx="469901" cy="4633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1685925</xdr:colOff>
      <xdr:row>57</xdr:row>
      <xdr:rowOff>0</xdr:rowOff>
    </xdr:from>
    <xdr:to>
      <xdr:col>2</xdr:col>
      <xdr:colOff>0</xdr:colOff>
      <xdr:row>57</xdr:row>
      <xdr:rowOff>180975</xdr:rowOff>
    </xdr:to>
    <xdr:pic>
      <xdr:nvPicPr>
        <xdr:cNvPr id="15673479" name="Immagine 13" descr="logo.gif">
          <a:extLst>
            <a:ext uri="{FF2B5EF4-FFF2-40B4-BE49-F238E27FC236}">
              <a16:creationId xmlns:a16="http://schemas.microsoft.com/office/drawing/2014/main" id="{ADE1F872-A06C-41DE-AADB-9E90D1BDC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123634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161924</xdr:colOff>
      <xdr:row>1</xdr:row>
      <xdr:rowOff>104775</xdr:rowOff>
    </xdr:from>
    <xdr:to>
      <xdr:col>0</xdr:col>
      <xdr:colOff>1866899</xdr:colOff>
      <xdr:row>1</xdr:row>
      <xdr:rowOff>447675</xdr:rowOff>
    </xdr:to>
    <xdr:pic>
      <xdr:nvPicPr>
        <xdr:cNvPr id="15673480" name="Immagine 4" descr="Logo 150 Nuovo 20130701">
          <a:extLst>
            <a:ext uri="{FF2B5EF4-FFF2-40B4-BE49-F238E27FC236}">
              <a16:creationId xmlns:a16="http://schemas.microsoft.com/office/drawing/2014/main" id="{D04511FE-72C1-4B18-AA43-8BD7645D9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485775"/>
          <a:ext cx="17049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584200</xdr:colOff>
      <xdr:row>1</xdr:row>
      <xdr:rowOff>50800</xdr:rowOff>
    </xdr:from>
    <xdr:to>
      <xdr:col>8</xdr:col>
      <xdr:colOff>831849</xdr:colOff>
      <xdr:row>1</xdr:row>
      <xdr:rowOff>506184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6CC46D1-8DD1-4879-9F69-694B1F958E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88180" r="44389" b="5499"/>
        <a:stretch/>
      </xdr:blipFill>
      <xdr:spPr>
        <a:xfrm>
          <a:off x="11595100" y="431800"/>
          <a:ext cx="1365249" cy="455384"/>
        </a:xfrm>
        <a:prstGeom prst="rect">
          <a:avLst/>
        </a:prstGeom>
      </xdr:spPr>
    </xdr:pic>
    <xdr:clientData/>
  </xdr:twoCellAnchor>
  <xdr:twoCellAnchor editAs="oneCell">
    <xdr:from>
      <xdr:col>13</xdr:col>
      <xdr:colOff>800099</xdr:colOff>
      <xdr:row>1</xdr:row>
      <xdr:rowOff>44450</xdr:rowOff>
    </xdr:from>
    <xdr:to>
      <xdr:col>14</xdr:col>
      <xdr:colOff>152400</xdr:colOff>
      <xdr:row>1</xdr:row>
      <xdr:rowOff>507836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77C363D-EB4E-4223-969B-9041167401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75813" r="44389" b="5499"/>
        <a:stretch/>
      </xdr:blipFill>
      <xdr:spPr>
        <a:xfrm>
          <a:off x="18516599" y="425450"/>
          <a:ext cx="469901" cy="4633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80963</xdr:rowOff>
    </xdr:from>
    <xdr:to>
      <xdr:col>0</xdr:col>
      <xdr:colOff>1785938</xdr:colOff>
      <xdr:row>1</xdr:row>
      <xdr:rowOff>423863</xdr:rowOff>
    </xdr:to>
    <xdr:pic>
      <xdr:nvPicPr>
        <xdr:cNvPr id="15675491" name="Immagine 4" descr="Logo 150 Nuovo 20130701">
          <a:extLst>
            <a:ext uri="{FF2B5EF4-FFF2-40B4-BE49-F238E27FC236}">
              <a16:creationId xmlns:a16="http://schemas.microsoft.com/office/drawing/2014/main" id="{F1064F55-28DA-499C-83FC-8D45BBCDF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61963"/>
          <a:ext cx="1690688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42863</xdr:colOff>
      <xdr:row>98</xdr:row>
      <xdr:rowOff>28575</xdr:rowOff>
    </xdr:from>
    <xdr:to>
      <xdr:col>27</xdr:col>
      <xdr:colOff>928688</xdr:colOff>
      <xdr:row>109</xdr:row>
      <xdr:rowOff>176213</xdr:rowOff>
    </xdr:to>
    <xdr:graphicFrame macro="">
      <xdr:nvGraphicFramePr>
        <xdr:cNvPr id="15675493" name="Grafico 2">
          <a:extLst>
            <a:ext uri="{FF2B5EF4-FFF2-40B4-BE49-F238E27FC236}">
              <a16:creationId xmlns:a16="http://schemas.microsoft.com/office/drawing/2014/main" id="{73B32859-3095-4874-ACAD-652291BBA1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26</xdr:col>
      <xdr:colOff>143412</xdr:colOff>
      <xdr:row>1</xdr:row>
      <xdr:rowOff>47925</xdr:rowOff>
    </xdr:from>
    <xdr:to>
      <xdr:col>27</xdr:col>
      <xdr:colOff>469539</xdr:colOff>
      <xdr:row>1</xdr:row>
      <xdr:rowOff>511311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906E56E-B360-4178-A330-C0EF5024E3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75813" r="44389" b="5499"/>
        <a:stretch/>
      </xdr:blipFill>
      <xdr:spPr>
        <a:xfrm>
          <a:off x="25872893" y="431321"/>
          <a:ext cx="469901" cy="463386"/>
        </a:xfrm>
        <a:prstGeom prst="rect">
          <a:avLst/>
        </a:prstGeom>
      </xdr:spPr>
    </xdr:pic>
    <xdr:clientData/>
  </xdr:twoCellAnchor>
  <xdr:twoCellAnchor editAs="oneCell">
    <xdr:from>
      <xdr:col>13</xdr:col>
      <xdr:colOff>29953</xdr:colOff>
      <xdr:row>1</xdr:row>
      <xdr:rowOff>41934</xdr:rowOff>
    </xdr:from>
    <xdr:to>
      <xdr:col>16</xdr:col>
      <xdr:colOff>71287</xdr:colOff>
      <xdr:row>1</xdr:row>
      <xdr:rowOff>497318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DED2C9A-182D-49AB-9637-621DCC707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88180" r="44389" b="5499"/>
        <a:stretch/>
      </xdr:blipFill>
      <xdr:spPr>
        <a:xfrm>
          <a:off x="16144576" y="425330"/>
          <a:ext cx="1365249" cy="4553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168275</xdr:rowOff>
    </xdr:from>
    <xdr:to>
      <xdr:col>0</xdr:col>
      <xdr:colOff>2019300</xdr:colOff>
      <xdr:row>1</xdr:row>
      <xdr:rowOff>520700</xdr:rowOff>
    </xdr:to>
    <xdr:pic>
      <xdr:nvPicPr>
        <xdr:cNvPr id="2" name="Immagine 1" descr="Logo 150 Nuovo 20130701">
          <a:extLst>
            <a:ext uri="{FF2B5EF4-FFF2-40B4-BE49-F238E27FC236}">
              <a16:creationId xmlns:a16="http://schemas.microsoft.com/office/drawing/2014/main" id="{0BD2F634-C801-4519-B821-264516DFA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54025"/>
          <a:ext cx="1876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920750</xdr:colOff>
      <xdr:row>1</xdr:row>
      <xdr:rowOff>88900</xdr:rowOff>
    </xdr:from>
    <xdr:to>
      <xdr:col>4</xdr:col>
      <xdr:colOff>1104899</xdr:colOff>
      <xdr:row>1</xdr:row>
      <xdr:rowOff>614134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138CDB10-5C8E-4161-80B1-163C7DF1F5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03" t="88180" r="44389" b="5499"/>
        <a:stretch/>
      </xdr:blipFill>
      <xdr:spPr>
        <a:xfrm>
          <a:off x="8642350" y="374650"/>
          <a:ext cx="1365249" cy="52523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80963</xdr:rowOff>
    </xdr:from>
    <xdr:to>
      <xdr:col>0</xdr:col>
      <xdr:colOff>1843088</xdr:colOff>
      <xdr:row>1</xdr:row>
      <xdr:rowOff>423863</xdr:rowOff>
    </xdr:to>
    <xdr:pic>
      <xdr:nvPicPr>
        <xdr:cNvPr id="15099403" name="Immagine 4" descr="Logo 150 Nuovo 20130701">
          <a:extLst>
            <a:ext uri="{FF2B5EF4-FFF2-40B4-BE49-F238E27FC236}">
              <a16:creationId xmlns:a16="http://schemas.microsoft.com/office/drawing/2014/main" id="{B86BC9FF-39AF-48D7-B78D-42573F6E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61963"/>
          <a:ext cx="1690688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796990</xdr:colOff>
      <xdr:row>1</xdr:row>
      <xdr:rowOff>51836</xdr:rowOff>
    </xdr:from>
    <xdr:to>
      <xdr:col>28</xdr:col>
      <xdr:colOff>132962</xdr:colOff>
      <xdr:row>1</xdr:row>
      <xdr:rowOff>515222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C5F0E08-7662-4FDE-82CA-0A98777A83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03" t="75813" r="44389" b="5499"/>
        <a:stretch/>
      </xdr:blipFill>
      <xdr:spPr>
        <a:xfrm>
          <a:off x="26443214" y="434132"/>
          <a:ext cx="469901" cy="463386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</xdr:row>
      <xdr:rowOff>58188</xdr:rowOff>
    </xdr:from>
    <xdr:to>
      <xdr:col>18</xdr:col>
      <xdr:colOff>250759</xdr:colOff>
      <xdr:row>1</xdr:row>
      <xdr:rowOff>513572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31D87D71-CEEB-4269-99F7-12DF70E642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03" t="88180" r="44389" b="5499"/>
        <a:stretch/>
      </xdr:blipFill>
      <xdr:spPr>
        <a:xfrm>
          <a:off x="15816684" y="440484"/>
          <a:ext cx="1365249" cy="45538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2181225</xdr:colOff>
      <xdr:row>0</xdr:row>
      <xdr:rowOff>95250</xdr:rowOff>
    </xdr:from>
    <xdr:to>
      <xdr:col>0</xdr:col>
      <xdr:colOff>3028950</xdr:colOff>
      <xdr:row>0</xdr:row>
      <xdr:rowOff>285750</xdr:rowOff>
    </xdr:to>
    <xdr:sp macro="" textlink="">
      <xdr:nvSpPr>
        <xdr:cNvPr id="3" name="Rettangolo arrotonda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4FC2FE-0CF1-44BD-BF05-138C2DCDDDB0}"/>
            </a:ext>
          </a:extLst>
        </xdr:cNvPr>
        <xdr:cNvSpPr/>
      </xdr:nvSpPr>
      <xdr:spPr>
        <a:xfrm>
          <a:off x="2181225" y="95250"/>
          <a:ext cx="847725" cy="190500"/>
        </a:xfrm>
        <a:prstGeom prst="roundRect">
          <a:avLst/>
        </a:prstGeom>
        <a:solidFill>
          <a:sysClr val="window" lastClr="FFFFFF"/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it-IT" sz="800" b="0" cap="none" spc="0">
              <a:ln w="18415" cmpd="sng">
                <a:noFill/>
                <a:prstDash val="solid"/>
              </a:ln>
              <a:solidFill>
                <a:schemeClr val="tx2">
                  <a:lumMod val="50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Verdana" pitchFamily="34" charset="0"/>
              <a:ea typeface="Verdana" pitchFamily="34" charset="0"/>
              <a:cs typeface="Verdana" pitchFamily="34" charset="0"/>
            </a:rPr>
            <a:t>Menù</a:t>
          </a:r>
        </a:p>
      </xdr:txBody>
    </xdr:sp>
    <xdr:clientData/>
  </xdr:twoCellAnchor>
  <xdr:twoCellAnchor>
    <xdr:from>
      <xdr:col>0</xdr:col>
      <xdr:colOff>100013</xdr:colOff>
      <xdr:row>1</xdr:row>
      <xdr:rowOff>95250</xdr:rowOff>
    </xdr:from>
    <xdr:to>
      <xdr:col>1</xdr:col>
      <xdr:colOff>742950</xdr:colOff>
      <xdr:row>1</xdr:row>
      <xdr:rowOff>438150</xdr:rowOff>
    </xdr:to>
    <xdr:pic>
      <xdr:nvPicPr>
        <xdr:cNvPr id="15677574" name="Immagine 4" descr="Logo 150 Nuovo 20130701">
          <a:extLst>
            <a:ext uri="{FF2B5EF4-FFF2-40B4-BE49-F238E27FC236}">
              <a16:creationId xmlns:a16="http://schemas.microsoft.com/office/drawing/2014/main" id="{E113320A-01E7-4CD6-8258-DBB9EFD4E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3" y="476250"/>
          <a:ext cx="1665287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1428750</xdr:colOff>
      <xdr:row>8</xdr:row>
      <xdr:rowOff>103922</xdr:rowOff>
    </xdr:from>
    <xdr:to>
      <xdr:col>8</xdr:col>
      <xdr:colOff>1008980</xdr:colOff>
      <xdr:row>12</xdr:row>
      <xdr:rowOff>781050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BD67021-0566-4BEB-988D-E2ACF4A7EF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75813" r="44389" b="5499"/>
        <a:stretch/>
      </xdr:blipFill>
      <xdr:spPr>
        <a:xfrm>
          <a:off x="5740400" y="2593122"/>
          <a:ext cx="4241130" cy="4182328"/>
        </a:xfrm>
        <a:prstGeom prst="rect">
          <a:avLst/>
        </a:prstGeom>
      </xdr:spPr>
    </xdr:pic>
    <xdr:clientData/>
  </xdr:twoCellAnchor>
  <xdr:twoCellAnchor>
    <xdr:from>
      <xdr:col>4</xdr:col>
      <xdr:colOff>88900</xdr:colOff>
      <xdr:row>8</xdr:row>
      <xdr:rowOff>69850</xdr:rowOff>
    </xdr:from>
    <xdr:to>
      <xdr:col>9</xdr:col>
      <xdr:colOff>1079500</xdr:colOff>
      <xdr:row>12</xdr:row>
      <xdr:rowOff>812800</xdr:rowOff>
    </xdr:to>
    <xdr:graphicFrame macro="">
      <xdr:nvGraphicFramePr>
        <xdr:cNvPr id="4" name="Grafico 15">
          <a:extLst>
            <a:ext uri="{FF2B5EF4-FFF2-40B4-BE49-F238E27FC236}">
              <a16:creationId xmlns:a16="http://schemas.microsoft.com/office/drawing/2014/main" id="{D7F9A2E8-8AAA-4B90-8666-A92163204D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8</xdr:col>
      <xdr:colOff>742950</xdr:colOff>
      <xdr:row>1</xdr:row>
      <xdr:rowOff>57152</xdr:rowOff>
    </xdr:from>
    <xdr:to>
      <xdr:col>9</xdr:col>
      <xdr:colOff>977899</xdr:colOff>
      <xdr:row>1</xdr:row>
      <xdr:rowOff>512536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5CE85DA5-A674-4E15-8F71-B0BE37F636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88180" r="44389" b="5499"/>
        <a:stretch/>
      </xdr:blipFill>
      <xdr:spPr>
        <a:xfrm>
          <a:off x="9715500" y="438152"/>
          <a:ext cx="1365249" cy="45538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166686</xdr:colOff>
      <xdr:row>1</xdr:row>
      <xdr:rowOff>133350</xdr:rowOff>
    </xdr:from>
    <xdr:to>
      <xdr:col>0</xdr:col>
      <xdr:colOff>2024326</xdr:colOff>
      <xdr:row>1</xdr:row>
      <xdr:rowOff>508000</xdr:rowOff>
    </xdr:to>
    <xdr:pic>
      <xdr:nvPicPr>
        <xdr:cNvPr id="4" name="Immagine 3" descr="Logo 150 Nuovo 20130701">
          <a:extLst>
            <a:ext uri="{FF2B5EF4-FFF2-40B4-BE49-F238E27FC236}">
              <a16:creationId xmlns:a16="http://schemas.microsoft.com/office/drawing/2014/main" id="{1EAC9ACE-1536-48AD-BE85-648B21F1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6" y="463550"/>
          <a:ext cx="185764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939799</xdr:colOff>
      <xdr:row>1</xdr:row>
      <xdr:rowOff>95250</xdr:rowOff>
    </xdr:from>
    <xdr:to>
      <xdr:col>5</xdr:col>
      <xdr:colOff>1409700</xdr:colOff>
      <xdr:row>1</xdr:row>
      <xdr:rowOff>558636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D6513B4-2F30-4208-B86D-E501120A39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03" t="75813" r="44389" b="5499"/>
        <a:stretch/>
      </xdr:blipFill>
      <xdr:spPr>
        <a:xfrm>
          <a:off x="11042649" y="425450"/>
          <a:ext cx="469901" cy="463386"/>
        </a:xfrm>
        <a:prstGeom prst="rect">
          <a:avLst/>
        </a:prstGeom>
      </xdr:spPr>
    </xdr:pic>
    <xdr:clientData/>
  </xdr:twoCellAnchor>
  <xdr:twoCellAnchor editAs="oneCell">
    <xdr:from>
      <xdr:col>3</xdr:col>
      <xdr:colOff>730250</xdr:colOff>
      <xdr:row>1</xdr:row>
      <xdr:rowOff>95250</xdr:rowOff>
    </xdr:from>
    <xdr:to>
      <xdr:col>4</xdr:col>
      <xdr:colOff>457199</xdr:colOff>
      <xdr:row>1</xdr:row>
      <xdr:rowOff>550634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F8E0FFE-2B07-443F-B145-B63374D5EC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03" t="88180" r="44389" b="5499"/>
        <a:stretch/>
      </xdr:blipFill>
      <xdr:spPr>
        <a:xfrm>
          <a:off x="7556500" y="425450"/>
          <a:ext cx="1365249" cy="45538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138113</xdr:colOff>
      <xdr:row>1</xdr:row>
      <xdr:rowOff>95250</xdr:rowOff>
    </xdr:from>
    <xdr:to>
      <xdr:col>1</xdr:col>
      <xdr:colOff>1385888</xdr:colOff>
      <xdr:row>1</xdr:row>
      <xdr:rowOff>438150</xdr:rowOff>
    </xdr:to>
    <xdr:pic>
      <xdr:nvPicPr>
        <xdr:cNvPr id="15679588" name="Immagine 4" descr="Logo 150 Nuovo 20130701">
          <a:extLst>
            <a:ext uri="{FF2B5EF4-FFF2-40B4-BE49-F238E27FC236}">
              <a16:creationId xmlns:a16="http://schemas.microsoft.com/office/drawing/2014/main" id="{7A27CEBD-0122-49EB-A5FE-396F6BCB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3" y="476250"/>
          <a:ext cx="1624012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679449</xdr:colOff>
      <xdr:row>1</xdr:row>
      <xdr:rowOff>50800</xdr:rowOff>
    </xdr:from>
    <xdr:to>
      <xdr:col>6</xdr:col>
      <xdr:colOff>1149350</xdr:colOff>
      <xdr:row>1</xdr:row>
      <xdr:rowOff>514186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6DDB202-EFEA-4699-965F-14D80915AA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03" t="75813" r="44389" b="5499"/>
        <a:stretch/>
      </xdr:blipFill>
      <xdr:spPr>
        <a:xfrm>
          <a:off x="11182349" y="431800"/>
          <a:ext cx="469901" cy="463386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1270000</xdr:colOff>
      <xdr:row>1</xdr:row>
      <xdr:rowOff>50800</xdr:rowOff>
    </xdr:from>
    <xdr:to>
      <xdr:col>4</xdr:col>
      <xdr:colOff>1276349</xdr:colOff>
      <xdr:row>1</xdr:row>
      <xdr:rowOff>506184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0253010-28D3-4FC4-84AC-244D03C181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03" t="88180" r="44389" b="5499"/>
        <a:stretch/>
      </xdr:blipFill>
      <xdr:spPr>
        <a:xfrm>
          <a:off x="7696200" y="431800"/>
          <a:ext cx="1365249" cy="45538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138113</xdr:colOff>
      <xdr:row>1</xdr:row>
      <xdr:rowOff>95250</xdr:rowOff>
    </xdr:from>
    <xdr:to>
      <xdr:col>1</xdr:col>
      <xdr:colOff>1385888</xdr:colOff>
      <xdr:row>1</xdr:row>
      <xdr:rowOff>438150</xdr:rowOff>
    </xdr:to>
    <xdr:pic>
      <xdr:nvPicPr>
        <xdr:cNvPr id="14654832" name="Immagine 4" descr="Logo 150 Nuovo 20130701">
          <a:extLst>
            <a:ext uri="{FF2B5EF4-FFF2-40B4-BE49-F238E27FC236}">
              <a16:creationId xmlns:a16="http://schemas.microsoft.com/office/drawing/2014/main" id="{4E2A755B-7418-4BEB-8B03-2D7544CC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3" y="423863"/>
          <a:ext cx="16097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223838</xdr:colOff>
      <xdr:row>1</xdr:row>
      <xdr:rowOff>95250</xdr:rowOff>
    </xdr:from>
    <xdr:to>
      <xdr:col>0</xdr:col>
      <xdr:colOff>1914525</xdr:colOff>
      <xdr:row>1</xdr:row>
      <xdr:rowOff>438150</xdr:rowOff>
    </xdr:to>
    <xdr:pic>
      <xdr:nvPicPr>
        <xdr:cNvPr id="15680613" name="Immagine 4" descr="Logo 150 Nuovo 20130701">
          <a:extLst>
            <a:ext uri="{FF2B5EF4-FFF2-40B4-BE49-F238E27FC236}">
              <a16:creationId xmlns:a16="http://schemas.microsoft.com/office/drawing/2014/main" id="{48B2D56E-4931-426A-AE80-AED56371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8" y="381000"/>
          <a:ext cx="1690687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82</xdr:row>
      <xdr:rowOff>9525</xdr:rowOff>
    </xdr:from>
    <xdr:to>
      <xdr:col>6</xdr:col>
      <xdr:colOff>1778000</xdr:colOff>
      <xdr:row>97</xdr:row>
      <xdr:rowOff>69850</xdr:rowOff>
    </xdr:to>
    <xdr:graphicFrame macro="">
      <xdr:nvGraphicFramePr>
        <xdr:cNvPr id="15680615" name="Grafico 2">
          <a:extLst>
            <a:ext uri="{FF2B5EF4-FFF2-40B4-BE49-F238E27FC236}">
              <a16:creationId xmlns:a16="http://schemas.microsoft.com/office/drawing/2014/main" id="{4C79B8BC-F9DD-49FB-A618-6EC9F114FB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120649</xdr:colOff>
      <xdr:row>1</xdr:row>
      <xdr:rowOff>44450</xdr:rowOff>
    </xdr:from>
    <xdr:to>
      <xdr:col>6</xdr:col>
      <xdr:colOff>590550</xdr:colOff>
      <xdr:row>1</xdr:row>
      <xdr:rowOff>507836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B97935E-2DB4-4C8B-A6EE-28B48195CA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75813" r="44389" b="5499"/>
        <a:stretch/>
      </xdr:blipFill>
      <xdr:spPr>
        <a:xfrm>
          <a:off x="13658849" y="330200"/>
          <a:ext cx="469901" cy="463386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1</xdr:row>
      <xdr:rowOff>50800</xdr:rowOff>
    </xdr:from>
    <xdr:to>
      <xdr:col>4</xdr:col>
      <xdr:colOff>1631949</xdr:colOff>
      <xdr:row>1</xdr:row>
      <xdr:rowOff>506184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0F9F9B1-B414-4F0D-B0BD-E22E90473D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703" t="88180" r="44389" b="5499"/>
        <a:stretch/>
      </xdr:blipFill>
      <xdr:spPr>
        <a:xfrm>
          <a:off x="10172700" y="336550"/>
          <a:ext cx="1365249" cy="45538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11</xdr:row>
      <xdr:rowOff>28575</xdr:rowOff>
    </xdr:from>
    <xdr:to>
      <xdr:col>5</xdr:col>
      <xdr:colOff>1428750</xdr:colOff>
      <xdr:row>12</xdr:row>
      <xdr:rowOff>95250</xdr:rowOff>
    </xdr:to>
    <xdr:pic>
      <xdr:nvPicPr>
        <xdr:cNvPr id="15682692" name="Picture 1" descr="Logo 150 Nuovo">
          <a:extLst>
            <a:ext uri="{FF2B5EF4-FFF2-40B4-BE49-F238E27FC236}">
              <a16:creationId xmlns:a16="http://schemas.microsoft.com/office/drawing/2014/main" id="{6ECB409E-D026-4679-9A98-1FD944E5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763" y="1390650"/>
          <a:ext cx="11715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257175</xdr:colOff>
      <xdr:row>20</xdr:row>
      <xdr:rowOff>28575</xdr:rowOff>
    </xdr:from>
    <xdr:to>
      <xdr:col>5</xdr:col>
      <xdr:colOff>1428750</xdr:colOff>
      <xdr:row>21</xdr:row>
      <xdr:rowOff>95250</xdr:rowOff>
    </xdr:to>
    <xdr:pic>
      <xdr:nvPicPr>
        <xdr:cNvPr id="15682693" name="Picture 1" descr="Logo 150 Nuovo">
          <a:extLst>
            <a:ext uri="{FF2B5EF4-FFF2-40B4-BE49-F238E27FC236}">
              <a16:creationId xmlns:a16="http://schemas.microsoft.com/office/drawing/2014/main" id="{F141BFA8-750E-44CF-B6CA-8E6D103C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763" y="2505075"/>
          <a:ext cx="11715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257175</xdr:colOff>
      <xdr:row>29</xdr:row>
      <xdr:rowOff>28575</xdr:rowOff>
    </xdr:from>
    <xdr:to>
      <xdr:col>5</xdr:col>
      <xdr:colOff>1428750</xdr:colOff>
      <xdr:row>30</xdr:row>
      <xdr:rowOff>95250</xdr:rowOff>
    </xdr:to>
    <xdr:pic>
      <xdr:nvPicPr>
        <xdr:cNvPr id="15682694" name="Picture 1" descr="Logo 150 Nuovo">
          <a:extLst>
            <a:ext uri="{FF2B5EF4-FFF2-40B4-BE49-F238E27FC236}">
              <a16:creationId xmlns:a16="http://schemas.microsoft.com/office/drawing/2014/main" id="{CE8DF903-B757-44B1-BD95-9670FC1E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763" y="3619500"/>
          <a:ext cx="11715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257175</xdr:colOff>
      <xdr:row>38</xdr:row>
      <xdr:rowOff>28575</xdr:rowOff>
    </xdr:from>
    <xdr:to>
      <xdr:col>5</xdr:col>
      <xdr:colOff>1428750</xdr:colOff>
      <xdr:row>39</xdr:row>
      <xdr:rowOff>95250</xdr:rowOff>
    </xdr:to>
    <xdr:pic>
      <xdr:nvPicPr>
        <xdr:cNvPr id="15682695" name="Picture 1" descr="Logo 150 Nuovo">
          <a:extLst>
            <a:ext uri="{FF2B5EF4-FFF2-40B4-BE49-F238E27FC236}">
              <a16:creationId xmlns:a16="http://schemas.microsoft.com/office/drawing/2014/main" id="{58E17578-F575-41E1-A329-4FF21427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763" y="4733925"/>
          <a:ext cx="11715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</xdr:row>
      <xdr:rowOff>111125</xdr:rowOff>
    </xdr:from>
    <xdr:to>
      <xdr:col>0</xdr:col>
      <xdr:colOff>1824038</xdr:colOff>
      <xdr:row>1</xdr:row>
      <xdr:rowOff>439738</xdr:rowOff>
    </xdr:to>
    <xdr:pic>
      <xdr:nvPicPr>
        <xdr:cNvPr id="15683617" name="Immagine 4" descr="Logo 150 Nuovo 20130701">
          <a:extLst>
            <a:ext uri="{FF2B5EF4-FFF2-40B4-BE49-F238E27FC236}">
              <a16:creationId xmlns:a16="http://schemas.microsoft.com/office/drawing/2014/main" id="{552B4DA1-E9DB-4A8D-912B-6815F5B4E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09575"/>
          <a:ext cx="1690688" cy="328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692149</xdr:colOff>
      <xdr:row>1</xdr:row>
      <xdr:rowOff>82550</xdr:rowOff>
    </xdr:from>
    <xdr:to>
      <xdr:col>10</xdr:col>
      <xdr:colOff>0</xdr:colOff>
      <xdr:row>1</xdr:row>
      <xdr:rowOff>545936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C6067D1-19E4-4E82-BF21-A28A3C8CAA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03" t="75813" r="44389" b="5499"/>
        <a:stretch/>
      </xdr:blipFill>
      <xdr:spPr>
        <a:xfrm>
          <a:off x="12649199" y="381000"/>
          <a:ext cx="469901" cy="463386"/>
        </a:xfrm>
        <a:prstGeom prst="rect">
          <a:avLst/>
        </a:prstGeom>
      </xdr:spPr>
    </xdr:pic>
    <xdr:clientData/>
  </xdr:twoCellAnchor>
  <xdr:twoCellAnchor editAs="oneCell">
    <xdr:from>
      <xdr:col>6</xdr:col>
      <xdr:colOff>692150</xdr:colOff>
      <xdr:row>1</xdr:row>
      <xdr:rowOff>82550</xdr:rowOff>
    </xdr:from>
    <xdr:to>
      <xdr:col>7</xdr:col>
      <xdr:colOff>895349</xdr:colOff>
      <xdr:row>1</xdr:row>
      <xdr:rowOff>537934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7455146-5406-4A05-9786-5DDD8E18E4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03" t="88180" r="44389" b="5499"/>
        <a:stretch/>
      </xdr:blipFill>
      <xdr:spPr>
        <a:xfrm>
          <a:off x="9163050" y="381000"/>
          <a:ext cx="1365249" cy="455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tx2">
            <a:lumMod val="50000"/>
          </a:schemeClr>
        </a:solidFill>
      </a:spPr>
      <a:bodyPr vertOverflow="clip" rtlCol="0" anchor="ctr"/>
      <a:lstStyle>
        <a:defPPr algn="ctr">
          <a:defRPr sz="12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latin typeface="Verdana" pitchFamily="34" charset="0"/>
            <a:ea typeface="Verdana" pitchFamily="34" charset="0"/>
            <a:cs typeface="Verdana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P52"/>
  <sheetViews>
    <sheetView zoomScaleNormal="100" zoomScaleSheetLayoutView="90" workbookViewId="0">
      <selection activeCell="S5" sqref="S5"/>
    </sheetView>
  </sheetViews>
  <sheetFormatPr defaultColWidth="9" defaultRowHeight="10.5"/>
  <cols>
    <col min="1" max="16384" width="9" style="1"/>
  </cols>
  <sheetData>
    <row r="1" spans="1:16" ht="30.75" customHeight="1">
      <c r="A1" s="550" t="str">
        <f>D3</f>
        <v>Trovato 1929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</row>
    <row r="2" spans="1:16" ht="44.25" customHeight="1">
      <c r="A2" s="553" t="s">
        <v>0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53"/>
    </row>
    <row r="3" spans="1:16" ht="17.25" customHeight="1">
      <c r="A3" s="552" t="s">
        <v>1</v>
      </c>
      <c r="B3" s="552"/>
      <c r="C3" s="552"/>
      <c r="D3" s="552" t="s">
        <v>2</v>
      </c>
      <c r="E3" s="552"/>
      <c r="F3" s="552"/>
      <c r="G3" s="91"/>
      <c r="H3" s="552" t="s">
        <v>3</v>
      </c>
      <c r="I3" s="552"/>
      <c r="J3" s="552"/>
      <c r="K3" s="552">
        <v>2025</v>
      </c>
      <c r="L3" s="552"/>
      <c r="M3" s="552"/>
      <c r="N3" s="552"/>
      <c r="O3" s="552"/>
      <c r="P3" s="552"/>
    </row>
    <row r="5" spans="1:16" ht="9.75" customHeight="1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</row>
    <row r="6" spans="1:16" ht="9.7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</row>
    <row r="7" spans="1:16" ht="9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</row>
    <row r="8" spans="1:16" ht="9.75" customHeight="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</row>
    <row r="9" spans="1:16" ht="9.75" customHeight="1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</row>
    <row r="10" spans="1:16" ht="9.75" customHeight="1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</row>
    <row r="11" spans="1:16" ht="9.75" customHeight="1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</row>
    <row r="12" spans="1:16" ht="9.75" customHeight="1">
      <c r="A12" s="95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</row>
    <row r="13" spans="1:16" ht="9.75" customHeight="1">
      <c r="A13" s="95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</row>
    <row r="14" spans="1:16" ht="9.75" customHeight="1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</row>
    <row r="15" spans="1:16" ht="9.75" customHeight="1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</row>
    <row r="16" spans="1:16" ht="9.75" customHeight="1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</row>
    <row r="17" spans="1:16" ht="9.75" customHeight="1">
      <c r="A17" s="95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</row>
    <row r="18" spans="1:16" ht="9.75" customHeight="1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</row>
    <row r="19" spans="1:16" ht="9.75" customHeight="1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</row>
    <row r="20" spans="1:16" ht="9.75" customHeight="1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</row>
    <row r="21" spans="1:16" ht="9.75" customHeight="1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</row>
    <row r="22" spans="1:16" ht="9.75" customHeight="1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</row>
    <row r="23" spans="1:16" ht="9.75" customHeight="1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</row>
    <row r="24" spans="1:16" ht="9.75" customHeight="1">
      <c r="A24" s="95"/>
      <c r="B24" s="95"/>
      <c r="C24" s="95"/>
      <c r="D24" s="95"/>
      <c r="E24" s="95"/>
      <c r="F24" s="95"/>
      <c r="G24" s="95"/>
      <c r="H24" s="96"/>
      <c r="I24" s="95"/>
      <c r="J24" s="95"/>
      <c r="K24" s="95"/>
      <c r="L24" s="95"/>
      <c r="M24" s="95"/>
      <c r="N24" s="95"/>
      <c r="O24" s="95"/>
      <c r="P24" s="95"/>
    </row>
    <row r="25" spans="1:16" ht="9.75" customHeight="1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</row>
    <row r="26" spans="1:16" ht="9.75" customHeight="1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</row>
    <row r="27" spans="1:16" ht="9.75" customHeight="1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9.75" customHeight="1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</row>
    <row r="29" spans="1:16" ht="9.75" customHeight="1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</row>
    <row r="30" spans="1:16" ht="9.75" customHeight="1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</row>
    <row r="31" spans="1:16" ht="9.75" customHeight="1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</row>
    <row r="32" spans="1:16" ht="9.75" customHeight="1">
      <c r="A32" s="9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spans="1:16" ht="9.75" customHeight="1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</row>
    <row r="34" spans="1:16" ht="9.75" customHeight="1">
      <c r="A34" s="97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</row>
    <row r="35" spans="1:16" ht="9.75" customHeight="1">
      <c r="A35" s="98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</row>
    <row r="36" spans="1:16" ht="9.75" customHeight="1">
      <c r="A36" s="98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</row>
    <row r="37" spans="1:16" ht="9.75" customHeight="1">
      <c r="A37" s="98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</row>
    <row r="38" spans="1:16" ht="9.75" customHeight="1">
      <c r="A38" s="98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</row>
    <row r="39" spans="1:16" ht="9.75" customHeight="1">
      <c r="A39" s="98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</row>
    <row r="40" spans="1:16" ht="9.75" customHeight="1">
      <c r="A40" s="98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</row>
    <row r="41" spans="1:16" ht="9.75" customHeight="1">
      <c r="A41" s="99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</row>
    <row r="42" spans="1:16" ht="9.75" customHeight="1">
      <c r="A42" s="99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</row>
    <row r="43" spans="1:16" ht="9.75" customHeight="1">
      <c r="A43" s="99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</row>
    <row r="44" spans="1:16" ht="9.75" customHeight="1">
      <c r="A44" s="95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</row>
    <row r="45" spans="1:16" ht="9.75" customHeight="1">
      <c r="A45" s="95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</row>
    <row r="46" spans="1:16" ht="9.75" customHeight="1">
      <c r="A46" s="95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</row>
    <row r="47" spans="1:16" ht="9.75" customHeight="1">
      <c r="A47" s="95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</row>
    <row r="48" spans="1:16" ht="9.75" customHeight="1">
      <c r="A48" s="95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</row>
    <row r="49" spans="1:16" ht="9.75" customHeight="1" thickBot="1">
      <c r="A49" s="100"/>
      <c r="B49" s="100"/>
      <c r="C49" s="100"/>
      <c r="D49" s="100"/>
      <c r="E49" s="100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</row>
    <row r="50" spans="1:16" ht="9.75" customHeight="1" thickTop="1">
      <c r="A50" s="115"/>
      <c r="B50" s="115"/>
      <c r="C50" s="115"/>
      <c r="D50" s="115"/>
      <c r="E50" s="11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</row>
    <row r="51" spans="1:16" ht="9.75" customHeight="1">
      <c r="A51" s="115"/>
      <c r="B51" s="115"/>
      <c r="C51" s="115"/>
      <c r="D51" s="115"/>
      <c r="E51" s="11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</row>
    <row r="52" spans="1:16">
      <c r="A52" s="93" t="s">
        <v>4</v>
      </c>
      <c r="B52" s="93"/>
      <c r="C52" s="93"/>
      <c r="D52" s="92"/>
      <c r="E52" s="92"/>
      <c r="F52" s="92"/>
      <c r="G52" s="92"/>
      <c r="H52" s="551"/>
      <c r="I52" s="551"/>
      <c r="J52" s="551"/>
      <c r="K52" s="551"/>
      <c r="L52" s="551"/>
      <c r="M52" s="551"/>
      <c r="N52" s="551"/>
      <c r="O52" s="551"/>
      <c r="P52" s="551"/>
    </row>
  </sheetData>
  <sheetProtection algorithmName="SHA-512" hashValue="YJRZHk3m23zpELMtisRlRNkeJhwhDpTvnHFylVpZkEG8VfWc434DQsc9MrbOchPMuty5vKD/WZlrD2DlgZPkGw==" saltValue="wGavDNrRPo1jnYemqjoXMQ==" spinCount="100000" sheet="1" selectLockedCells="1"/>
  <mergeCells count="8">
    <mergeCell ref="A1:P1"/>
    <mergeCell ref="H52:J52"/>
    <mergeCell ref="K52:P52"/>
    <mergeCell ref="H3:J3"/>
    <mergeCell ref="A3:C3"/>
    <mergeCell ref="D3:F3"/>
    <mergeCell ref="K3:P3"/>
    <mergeCell ref="A2:P2"/>
  </mergeCells>
  <pageMargins left="0.19685039370078741" right="0.19685039370078741" top="0.19685039370078741" bottom="0.1968503937007874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45"/>
  <sheetViews>
    <sheetView tabSelected="1" zoomScaleNormal="100" zoomScaleSheetLayoutView="50" workbookViewId="0">
      <selection activeCell="B33" sqref="B33"/>
    </sheetView>
  </sheetViews>
  <sheetFormatPr defaultColWidth="9" defaultRowHeight="12.75"/>
  <cols>
    <col min="1" max="1" width="51.7109375" style="331" customWidth="1"/>
    <col min="2" max="6" width="39.7109375" style="331" customWidth="1"/>
    <col min="7" max="7" width="14.7109375" style="331" bestFit="1" customWidth="1"/>
    <col min="8" max="10" width="9" style="331"/>
    <col min="11" max="11" width="11.42578125" style="331" bestFit="1" customWidth="1"/>
    <col min="12" max="14" width="9" style="331"/>
    <col min="15" max="15" width="10.140625" style="331" bestFit="1" customWidth="1"/>
    <col min="16" max="16384" width="9" style="331"/>
  </cols>
  <sheetData>
    <row r="1" spans="1:6" s="2" customFormat="1" ht="16.5">
      <c r="A1" s="554" t="str">
        <f>Menù!D3</f>
        <v>Trovato 1929</v>
      </c>
      <c r="B1" s="550"/>
      <c r="C1" s="550"/>
      <c r="D1" s="550"/>
      <c r="E1" s="550"/>
      <c r="F1" s="550"/>
    </row>
    <row r="2" spans="1:6" s="2" customFormat="1" ht="42.6" customHeight="1">
      <c r="A2" s="555" t="str">
        <f>Menù!A2</f>
        <v>Budget e Business Plan</v>
      </c>
      <c r="B2" s="555"/>
      <c r="C2" s="555"/>
      <c r="D2" s="555"/>
      <c r="E2" s="555"/>
      <c r="F2" s="555"/>
    </row>
    <row r="3" spans="1:6" s="2" customFormat="1">
      <c r="A3" s="556" t="s">
        <v>5</v>
      </c>
      <c r="B3" s="556"/>
      <c r="C3" s="556"/>
      <c r="D3" s="556"/>
      <c r="E3" s="556"/>
      <c r="F3" s="556"/>
    </row>
    <row r="4" spans="1:6" s="2" customFormat="1" ht="16.5">
      <c r="A4" s="534"/>
      <c r="B4" s="534"/>
      <c r="C4" s="534"/>
      <c r="D4" s="534"/>
      <c r="E4" s="534"/>
      <c r="F4" s="534"/>
    </row>
    <row r="5" spans="1:6" s="2" customFormat="1" ht="17.100000000000001" customHeight="1" thickBot="1">
      <c r="A5" s="296" t="s">
        <v>6</v>
      </c>
      <c r="B5" s="70">
        <f>Menù!K3</f>
        <v>2025</v>
      </c>
      <c r="C5" s="70">
        <f>B5+1</f>
        <v>2026</v>
      </c>
      <c r="D5" s="70">
        <f>C5+1</f>
        <v>2027</v>
      </c>
      <c r="E5" s="70">
        <f>D5+1</f>
        <v>2028</v>
      </c>
      <c r="F5" s="70">
        <f>E5+1</f>
        <v>2029</v>
      </c>
    </row>
    <row r="6" spans="1:6" s="2" customFormat="1" ht="17.100000000000001" customHeight="1" thickTop="1"/>
    <row r="7" spans="1:6" s="2" customFormat="1" ht="17.100000000000001" customHeight="1" thickBot="1">
      <c r="A7" s="297" t="s">
        <v>7</v>
      </c>
      <c r="B7" s="284">
        <v>0</v>
      </c>
      <c r="C7" s="284">
        <f>B7</f>
        <v>0</v>
      </c>
      <c r="D7" s="284">
        <f>C7</f>
        <v>0</v>
      </c>
      <c r="E7" s="284">
        <f>D7</f>
        <v>0</v>
      </c>
      <c r="F7" s="284">
        <f>E7</f>
        <v>0</v>
      </c>
    </row>
    <row r="8" spans="1:6" s="2" customFormat="1" ht="17.100000000000001" customHeight="1" thickTop="1" thickBot="1">
      <c r="A8" s="298"/>
      <c r="B8" s="299"/>
      <c r="C8" s="299"/>
      <c r="D8" s="299"/>
      <c r="E8" s="299"/>
      <c r="F8" s="299"/>
    </row>
    <row r="9" spans="1:6" s="2" customFormat="1" ht="17.100000000000001" customHeight="1" thickTop="1">
      <c r="A9" s="300" t="str">
        <f>"DPO - "&amp;'Plur. Gen. C.'!A9</f>
        <v>DPO - COGS</v>
      </c>
      <c r="B9" s="301">
        <v>0</v>
      </c>
      <c r="C9" s="301">
        <f t="shared" ref="C9:F14" si="0">B9</f>
        <v>0</v>
      </c>
      <c r="D9" s="301">
        <f t="shared" si="0"/>
        <v>0</v>
      </c>
      <c r="E9" s="301">
        <f t="shared" si="0"/>
        <v>0</v>
      </c>
      <c r="F9" s="301">
        <f t="shared" si="0"/>
        <v>0</v>
      </c>
    </row>
    <row r="10" spans="1:6" s="2" customFormat="1" ht="17.100000000000001" customHeight="1">
      <c r="A10" s="302" t="str">
        <f>"DPO - "&amp;'Plur. Gen. C.'!A28</f>
        <v>DPO - Sales and Management costs</v>
      </c>
      <c r="B10" s="303">
        <v>0</v>
      </c>
      <c r="C10" s="303">
        <f t="shared" si="0"/>
        <v>0</v>
      </c>
      <c r="D10" s="303">
        <f t="shared" si="0"/>
        <v>0</v>
      </c>
      <c r="E10" s="303">
        <f t="shared" si="0"/>
        <v>0</v>
      </c>
      <c r="F10" s="303">
        <f t="shared" si="0"/>
        <v>0</v>
      </c>
    </row>
    <row r="11" spans="1:6" s="2" customFormat="1" ht="17.100000000000001" customHeight="1">
      <c r="A11" s="302" t="str">
        <f>"DPO - "&amp;'Plur. Gen. C.'!A56</f>
        <v>DPO - General services</v>
      </c>
      <c r="B11" s="303">
        <v>0</v>
      </c>
      <c r="C11" s="303">
        <f t="shared" si="0"/>
        <v>0</v>
      </c>
      <c r="D11" s="303">
        <f t="shared" si="0"/>
        <v>0</v>
      </c>
      <c r="E11" s="303">
        <f t="shared" si="0"/>
        <v>0</v>
      </c>
      <c r="F11" s="303">
        <f t="shared" si="0"/>
        <v>0</v>
      </c>
    </row>
    <row r="12" spans="1:6" s="2" customFormat="1" ht="17.100000000000001" customHeight="1">
      <c r="A12" s="302" t="str">
        <f>"DPO - "&amp;'Plur. Gen. C.'!A85</f>
        <v>DPO - Employees</v>
      </c>
      <c r="B12" s="303">
        <v>0</v>
      </c>
      <c r="C12" s="303">
        <f t="shared" si="0"/>
        <v>0</v>
      </c>
      <c r="D12" s="303">
        <f t="shared" si="0"/>
        <v>0</v>
      </c>
      <c r="E12" s="303">
        <f t="shared" si="0"/>
        <v>0</v>
      </c>
      <c r="F12" s="303">
        <f t="shared" si="0"/>
        <v>0</v>
      </c>
    </row>
    <row r="13" spans="1:6" s="2" customFormat="1" ht="17.100000000000001" customHeight="1">
      <c r="A13" s="302" t="str">
        <f>"DPO - "&amp;'Plur. Gen. C.'!A95</f>
        <v>DPO - Depreciation and amortization</v>
      </c>
      <c r="B13" s="303">
        <v>0</v>
      </c>
      <c r="C13" s="303">
        <f t="shared" si="0"/>
        <v>0</v>
      </c>
      <c r="D13" s="303">
        <f t="shared" si="0"/>
        <v>0</v>
      </c>
      <c r="E13" s="303">
        <f t="shared" si="0"/>
        <v>0</v>
      </c>
      <c r="F13" s="303">
        <f t="shared" si="0"/>
        <v>0</v>
      </c>
    </row>
    <row r="14" spans="1:6" s="2" customFormat="1" ht="17.100000000000001" customHeight="1" thickBot="1">
      <c r="A14" s="304" t="str">
        <f>"DPO - "&amp;'Plur. Gen. C.'!A109</f>
        <v>DPO - Financials and taxation</v>
      </c>
      <c r="B14" s="305">
        <v>0</v>
      </c>
      <c r="C14" s="305">
        <f t="shared" si="0"/>
        <v>0</v>
      </c>
      <c r="D14" s="305">
        <f t="shared" si="0"/>
        <v>0</v>
      </c>
      <c r="E14" s="305">
        <f t="shared" si="0"/>
        <v>0</v>
      </c>
      <c r="F14" s="305">
        <f t="shared" si="0"/>
        <v>0</v>
      </c>
    </row>
    <row r="15" spans="1:6" s="2" customFormat="1" ht="17.100000000000001" customHeight="1" thickTop="1">
      <c r="B15" s="306"/>
    </row>
    <row r="16" spans="1:6" s="2" customFormat="1" ht="17.100000000000001" customHeight="1" thickBot="1">
      <c r="A16" s="307" t="s">
        <v>8</v>
      </c>
      <c r="B16" s="308">
        <f>7*52</f>
        <v>364</v>
      </c>
      <c r="C16" s="308">
        <f>B16</f>
        <v>364</v>
      </c>
      <c r="D16" s="308">
        <f t="shared" ref="D16:F16" si="1">C16</f>
        <v>364</v>
      </c>
      <c r="E16" s="308">
        <f t="shared" si="1"/>
        <v>364</v>
      </c>
      <c r="F16" s="308">
        <f t="shared" si="1"/>
        <v>364</v>
      </c>
    </row>
    <row r="17" spans="1:6" s="2" customFormat="1" ht="17.100000000000001" customHeight="1" thickTop="1" thickBot="1">
      <c r="A17" s="307" t="s">
        <v>9</v>
      </c>
      <c r="B17" s="308" t="s">
        <v>10</v>
      </c>
      <c r="C17" s="308" t="s">
        <v>11</v>
      </c>
      <c r="D17" s="308" t="s">
        <v>12</v>
      </c>
      <c r="E17" s="308" t="s">
        <v>13</v>
      </c>
      <c r="F17" s="308" t="s">
        <v>14</v>
      </c>
    </row>
    <row r="18" spans="1:6" s="2" customFormat="1" ht="17.100000000000001" customHeight="1" thickTop="1" thickBot="1">
      <c r="A18" s="307" t="s">
        <v>15</v>
      </c>
      <c r="B18" s="332">
        <v>17</v>
      </c>
      <c r="C18" s="332">
        <f>ROUND(B18*(1+C35),0)</f>
        <v>18</v>
      </c>
      <c r="D18" s="332">
        <f t="shared" ref="D18:F18" si="2">ROUND(C18*(1+D35),0)</f>
        <v>19</v>
      </c>
      <c r="E18" s="332">
        <f t="shared" si="2"/>
        <v>20</v>
      </c>
      <c r="F18" s="332">
        <f t="shared" si="2"/>
        <v>21</v>
      </c>
    </row>
    <row r="19" spans="1:6" s="2" customFormat="1" ht="17.100000000000001" customHeight="1" thickTop="1" thickBot="1">
      <c r="A19" s="307" t="s">
        <v>16</v>
      </c>
      <c r="B19" s="332">
        <f>B41/7</f>
        <v>20</v>
      </c>
      <c r="C19" s="332">
        <f>ROUND(B19*(1+C35),0)</f>
        <v>21</v>
      </c>
      <c r="D19" s="332">
        <f t="shared" ref="D19:F19" si="3">ROUND(C19*(1+D35),0)</f>
        <v>22</v>
      </c>
      <c r="E19" s="332">
        <f t="shared" si="3"/>
        <v>23</v>
      </c>
      <c r="F19" s="332">
        <f t="shared" si="3"/>
        <v>24</v>
      </c>
    </row>
    <row r="20" spans="1:6" s="2" customFormat="1" ht="17.100000000000001" customHeight="1" thickTop="1" thickBot="1">
      <c r="A20" s="307" t="s">
        <v>17</v>
      </c>
      <c r="B20" s="332">
        <f>B41/7</f>
        <v>20</v>
      </c>
      <c r="C20" s="332">
        <f>ROUND(B20*(1+C35),0)</f>
        <v>21</v>
      </c>
      <c r="D20" s="332">
        <f t="shared" ref="D20:F20" si="4">ROUND(C20*(1+D35),0)</f>
        <v>22</v>
      </c>
      <c r="E20" s="332">
        <f t="shared" si="4"/>
        <v>23</v>
      </c>
      <c r="F20" s="332">
        <f t="shared" si="4"/>
        <v>24</v>
      </c>
    </row>
    <row r="21" spans="1:6" s="2" customFormat="1" ht="17.100000000000001" customHeight="1" thickTop="1" thickBot="1">
      <c r="A21" s="307" t="s">
        <v>18</v>
      </c>
      <c r="B21" s="332">
        <v>7</v>
      </c>
      <c r="C21" s="332">
        <f>ROUND(B21*(1+C35),0)</f>
        <v>7</v>
      </c>
      <c r="D21" s="332">
        <f t="shared" ref="D21:F21" si="5">ROUND(C21*(1+D35),0)</f>
        <v>7</v>
      </c>
      <c r="E21" s="332">
        <f t="shared" si="5"/>
        <v>7</v>
      </c>
      <c r="F21" s="332">
        <f t="shared" si="5"/>
        <v>7</v>
      </c>
    </row>
    <row r="22" spans="1:6" s="2" customFormat="1" ht="17.100000000000001" customHeight="1" thickTop="1" thickBot="1">
      <c r="A22" s="307" t="s">
        <v>19</v>
      </c>
      <c r="B22" s="333">
        <v>13</v>
      </c>
      <c r="C22" s="333">
        <f>B22*(1+C36)</f>
        <v>13.26</v>
      </c>
      <c r="D22" s="333">
        <f t="shared" ref="D22:F22" si="6">C22*(1+D36)</f>
        <v>13.5252</v>
      </c>
      <c r="E22" s="333">
        <f t="shared" si="6"/>
        <v>13.795704000000001</v>
      </c>
      <c r="F22" s="333">
        <f t="shared" si="6"/>
        <v>14.07161808</v>
      </c>
    </row>
    <row r="23" spans="1:6" s="2" customFormat="1" ht="17.100000000000001" customHeight="1" thickTop="1" thickBot="1">
      <c r="A23" s="307" t="s">
        <v>20</v>
      </c>
      <c r="B23" s="333">
        <v>13</v>
      </c>
      <c r="C23" s="333">
        <f>B23*(1+C36)</f>
        <v>13.26</v>
      </c>
      <c r="D23" s="333">
        <f t="shared" ref="D23:F23" si="7">C23*(1+D36)</f>
        <v>13.5252</v>
      </c>
      <c r="E23" s="333">
        <f t="shared" si="7"/>
        <v>13.795704000000001</v>
      </c>
      <c r="F23" s="333">
        <f t="shared" si="7"/>
        <v>14.07161808</v>
      </c>
    </row>
    <row r="24" spans="1:6" s="2" customFormat="1" ht="17.100000000000001" customHeight="1" thickTop="1" thickBot="1">
      <c r="A24" s="307" t="s">
        <v>21</v>
      </c>
      <c r="B24" s="333">
        <v>3.5</v>
      </c>
      <c r="C24" s="333">
        <f>B24*(1+C36)</f>
        <v>3.5700000000000003</v>
      </c>
      <c r="D24" s="333">
        <f t="shared" ref="D24:F24" si="8">C24*(1+D36)</f>
        <v>3.6414000000000004</v>
      </c>
      <c r="E24" s="333">
        <f t="shared" si="8"/>
        <v>3.7142280000000003</v>
      </c>
      <c r="F24" s="333">
        <f t="shared" si="8"/>
        <v>3.7885125600000005</v>
      </c>
    </row>
    <row r="25" spans="1:6" s="2" customFormat="1" ht="17.100000000000001" customHeight="1" thickTop="1" thickBot="1">
      <c r="A25" s="307" t="s">
        <v>22</v>
      </c>
      <c r="B25" s="333">
        <v>4</v>
      </c>
      <c r="C25" s="333">
        <f>B25*(1+C36)</f>
        <v>4.08</v>
      </c>
      <c r="D25" s="333">
        <f t="shared" ref="D25:F25" si="9">C25*(1+D36)</f>
        <v>4.1616</v>
      </c>
      <c r="E25" s="333">
        <f t="shared" si="9"/>
        <v>4.2448319999999997</v>
      </c>
      <c r="F25" s="333">
        <f t="shared" si="9"/>
        <v>4.3297286399999999</v>
      </c>
    </row>
    <row r="26" spans="1:6" s="2" customFormat="1" ht="17.100000000000001" customHeight="1" thickTop="1" thickBot="1">
      <c r="A26" s="297" t="s">
        <v>23</v>
      </c>
      <c r="B26" s="334">
        <v>0.1</v>
      </c>
      <c r="C26" s="334">
        <v>0.1</v>
      </c>
      <c r="D26" s="334">
        <v>0.1</v>
      </c>
      <c r="E26" s="334">
        <v>0.1</v>
      </c>
      <c r="F26" s="334">
        <v>0.1</v>
      </c>
    </row>
    <row r="27" spans="1:6" s="2" customFormat="1" ht="17.100000000000001" customHeight="1" thickTop="1">
      <c r="B27" s="42"/>
    </row>
    <row r="28" spans="1:6" s="2" customFormat="1" ht="17.100000000000001" customHeight="1" thickBot="1">
      <c r="A28" s="307" t="s">
        <v>24</v>
      </c>
      <c r="B28" s="308">
        <f>'W Plur.'!B104/B16</f>
        <v>253</v>
      </c>
      <c r="C28" s="308">
        <f>'W Plur.'!C104/C16</f>
        <v>265</v>
      </c>
      <c r="D28" s="308">
        <f>'W Plur.'!D104/D16</f>
        <v>277</v>
      </c>
      <c r="E28" s="308">
        <f>'W Plur.'!E104/E16</f>
        <v>289</v>
      </c>
      <c r="F28" s="308">
        <f>'W Plur.'!F104/F16</f>
        <v>301</v>
      </c>
    </row>
    <row r="29" spans="1:6" s="2" customFormat="1" ht="17.100000000000001" customHeight="1" thickTop="1">
      <c r="B29" s="42"/>
    </row>
    <row r="30" spans="1:6" s="2" customFormat="1" ht="17.100000000000001" customHeight="1">
      <c r="A30" s="309" t="s">
        <v>25</v>
      </c>
      <c r="B30" s="310">
        <v>0.02</v>
      </c>
      <c r="C30" s="311" t="s">
        <v>26</v>
      </c>
      <c r="D30" s="311" t="s">
        <v>26</v>
      </c>
      <c r="E30" s="311" t="s">
        <v>26</v>
      </c>
      <c r="F30" s="311" t="s">
        <v>26</v>
      </c>
    </row>
    <row r="31" spans="1:6" s="2" customFormat="1" ht="17.100000000000001" customHeight="1" thickBot="1">
      <c r="A31" s="312" t="s">
        <v>27</v>
      </c>
      <c r="B31" s="313">
        <v>6</v>
      </c>
      <c r="C31" s="313" t="s">
        <v>26</v>
      </c>
      <c r="D31" s="313" t="s">
        <v>26</v>
      </c>
      <c r="E31" s="313" t="s">
        <v>26</v>
      </c>
      <c r="F31" s="313" t="s">
        <v>26</v>
      </c>
    </row>
    <row r="32" spans="1:6" s="2" customFormat="1" ht="17.100000000000001" customHeight="1" thickTop="1">
      <c r="A32" s="103"/>
      <c r="F32" s="42"/>
    </row>
    <row r="33" spans="1:6" s="2" customFormat="1" ht="17.100000000000001" customHeight="1" thickBot="1">
      <c r="A33" s="314" t="s">
        <v>28</v>
      </c>
      <c r="B33" s="533">
        <v>0</v>
      </c>
      <c r="C33" s="533">
        <v>0</v>
      </c>
      <c r="D33" s="533">
        <v>0</v>
      </c>
      <c r="E33" s="533">
        <v>0</v>
      </c>
      <c r="F33" s="533">
        <v>0</v>
      </c>
    </row>
    <row r="34" spans="1:6" s="2" customFormat="1" ht="17.100000000000001" customHeight="1" thickTop="1">
      <c r="A34" s="103"/>
      <c r="F34" s="42"/>
    </row>
    <row r="35" spans="1:6" s="2" customFormat="1" ht="17.100000000000001" customHeight="1" thickBot="1">
      <c r="A35" s="297" t="s">
        <v>29</v>
      </c>
      <c r="B35" s="335">
        <v>0</v>
      </c>
      <c r="C35" s="335">
        <v>7.0000000000000007E-2</v>
      </c>
      <c r="D35" s="335">
        <v>0.05</v>
      </c>
      <c r="E35" s="335">
        <v>0.05</v>
      </c>
      <c r="F35" s="335">
        <v>0.05</v>
      </c>
    </row>
    <row r="36" spans="1:6" s="2" customFormat="1" ht="17.100000000000001" customHeight="1" thickTop="1" thickBot="1">
      <c r="A36" s="297" t="s">
        <v>30</v>
      </c>
      <c r="B36" s="335">
        <v>0</v>
      </c>
      <c r="C36" s="335">
        <v>0.02</v>
      </c>
      <c r="D36" s="335">
        <v>0.02</v>
      </c>
      <c r="E36" s="335">
        <v>0.02</v>
      </c>
      <c r="F36" s="335">
        <v>0.02</v>
      </c>
    </row>
    <row r="37" spans="1:6" s="2" customFormat="1" ht="17.100000000000001" customHeight="1" thickTop="1" thickBot="1">
      <c r="A37" s="297" t="s">
        <v>31</v>
      </c>
      <c r="B37" s="335">
        <v>0.3</v>
      </c>
      <c r="C37" s="335">
        <f>B37</f>
        <v>0.3</v>
      </c>
      <c r="D37" s="335">
        <f t="shared" ref="D37:F37" si="10">C37</f>
        <v>0.3</v>
      </c>
      <c r="E37" s="335">
        <f t="shared" si="10"/>
        <v>0.3</v>
      </c>
      <c r="F37" s="335">
        <f t="shared" si="10"/>
        <v>0.3</v>
      </c>
    </row>
    <row r="38" spans="1:6" s="2" customFormat="1" ht="17.100000000000001" customHeight="1" thickTop="1">
      <c r="A38" s="103"/>
    </row>
    <row r="39" spans="1:6" s="2" customFormat="1" ht="17.100000000000001" customHeight="1" thickBot="1">
      <c r="A39" s="297" t="s">
        <v>32</v>
      </c>
      <c r="B39" s="315" t="s">
        <v>33</v>
      </c>
      <c r="C39" s="315" t="str">
        <f>B39</f>
        <v>€</v>
      </c>
      <c r="D39" s="315" t="str">
        <f t="shared" ref="D39:F45" si="11">C39</f>
        <v>€</v>
      </c>
      <c r="E39" s="315" t="str">
        <f t="shared" si="11"/>
        <v>€</v>
      </c>
      <c r="F39" s="315" t="str">
        <f t="shared" si="11"/>
        <v>€</v>
      </c>
    </row>
    <row r="40" spans="1:6" s="2" customFormat="1" ht="17.100000000000001" customHeight="1" thickTop="1">
      <c r="A40" s="103"/>
    </row>
    <row r="41" spans="1:6" s="2" customFormat="1" ht="17.100000000000001" customHeight="1" thickBot="1">
      <c r="A41" s="314" t="s">
        <v>34</v>
      </c>
      <c r="B41" s="336">
        <v>140</v>
      </c>
      <c r="C41" s="336">
        <f>B41</f>
        <v>140</v>
      </c>
      <c r="D41" s="336">
        <f t="shared" si="11"/>
        <v>140</v>
      </c>
      <c r="E41" s="336">
        <f t="shared" si="11"/>
        <v>140</v>
      </c>
      <c r="F41" s="336">
        <f t="shared" si="11"/>
        <v>140</v>
      </c>
    </row>
    <row r="42" spans="1:6" s="2" customFormat="1" ht="17.100000000000001" customHeight="1" thickTop="1">
      <c r="A42" s="103"/>
    </row>
    <row r="43" spans="1:6" s="2" customFormat="1" ht="17.100000000000001" customHeight="1" thickBot="1">
      <c r="A43" s="314" t="s">
        <v>35</v>
      </c>
      <c r="B43" s="316">
        <f>'PoS ren. costs'!C24</f>
        <v>1789.2771428571427</v>
      </c>
      <c r="C43" s="316">
        <f>B43</f>
        <v>1789.2771428571427</v>
      </c>
      <c r="D43" s="316">
        <f t="shared" ref="D43:F43" si="12">C43</f>
        <v>1789.2771428571427</v>
      </c>
      <c r="E43" s="316">
        <f t="shared" si="12"/>
        <v>1789.2771428571427</v>
      </c>
      <c r="F43" s="316">
        <f t="shared" si="12"/>
        <v>1789.2771428571427</v>
      </c>
    </row>
    <row r="44" spans="1:6" s="2" customFormat="1" ht="17.100000000000001" customHeight="1" thickTop="1">
      <c r="A44" s="103"/>
    </row>
    <row r="45" spans="1:6" s="2" customFormat="1" ht="17.100000000000001" customHeight="1" thickBot="1">
      <c r="A45" s="314" t="s">
        <v>36</v>
      </c>
      <c r="B45" s="317">
        <v>0.28000000000000003</v>
      </c>
      <c r="C45" s="317">
        <f>B45</f>
        <v>0.28000000000000003</v>
      </c>
      <c r="D45" s="317">
        <f>C45</f>
        <v>0.28000000000000003</v>
      </c>
      <c r="E45" s="317">
        <f t="shared" si="11"/>
        <v>0.28000000000000003</v>
      </c>
      <c r="F45" s="317">
        <f t="shared" si="11"/>
        <v>0.28000000000000003</v>
      </c>
    </row>
    <row r="46" spans="1:6" s="2" customFormat="1" ht="17.100000000000001" customHeight="1" thickTop="1">
      <c r="A46" s="103"/>
    </row>
    <row r="47" spans="1:6" s="2" customFormat="1" ht="17.100000000000001" customHeight="1" thickBot="1">
      <c r="A47" s="307" t="s">
        <v>37</v>
      </c>
      <c r="B47" s="75">
        <f>'W Plur.'!B119</f>
        <v>753479.99999999988</v>
      </c>
      <c r="C47" s="75">
        <f>'W Plur.'!C119</f>
        <v>808377.81818181812</v>
      </c>
      <c r="D47" s="75">
        <f>'W Plur.'!D119</f>
        <v>865170.15709090896</v>
      </c>
      <c r="E47" s="75">
        <f>'W Plur.'!E119</f>
        <v>923910.83842909092</v>
      </c>
      <c r="F47" s="75">
        <f>'W Plur.'!F119</f>
        <v>984655.07895796373</v>
      </c>
    </row>
    <row r="48" spans="1:6" s="2" customFormat="1" ht="17.100000000000001" customHeight="1" thickTop="1" thickBot="1">
      <c r="A48" s="318" t="s">
        <v>38</v>
      </c>
      <c r="B48" s="319">
        <f>100%-Riclassificato!B76</f>
        <v>0.72</v>
      </c>
      <c r="C48" s="319">
        <f>100%-Riclassificato!D76</f>
        <v>0.72</v>
      </c>
      <c r="D48" s="319">
        <f>100%-Riclassificato!E76</f>
        <v>0.72</v>
      </c>
      <c r="E48" s="319">
        <f>100%-Riclassificato!F76</f>
        <v>0.72</v>
      </c>
      <c r="F48" s="319">
        <f>100%-Riclassificato!G76</f>
        <v>0.72</v>
      </c>
    </row>
    <row r="49" spans="1:6" s="2" customFormat="1" ht="17.100000000000001" customHeight="1" thickTop="1">
      <c r="A49" s="103"/>
      <c r="B49" s="320"/>
    </row>
    <row r="50" spans="1:6" s="2" customFormat="1" ht="17.100000000000001" customHeight="1" thickBot="1">
      <c r="A50" s="321" t="s">
        <v>39</v>
      </c>
      <c r="B50" s="127">
        <f ca="1">'CF Plur'!B97</f>
        <v>199393.93710259727</v>
      </c>
      <c r="C50" s="127">
        <f>'CF Plur'!D91</f>
        <v>212422.47867986979</v>
      </c>
      <c r="D50" s="127">
        <f>'CF Plur'!F91</f>
        <v>223648.80900453532</v>
      </c>
      <c r="E50" s="127">
        <f>'CF Plur'!H91</f>
        <v>245586.14587375848</v>
      </c>
      <c r="F50" s="127">
        <f>'CF Plur'!J91</f>
        <v>265785.4759400863</v>
      </c>
    </row>
    <row r="51" spans="1:6" s="2" customFormat="1" ht="17.100000000000001" customHeight="1" thickTop="1">
      <c r="A51" s="103"/>
      <c r="B51" s="145"/>
      <c r="C51" s="145"/>
      <c r="D51" s="145"/>
      <c r="E51" s="145"/>
      <c r="F51" s="145"/>
    </row>
    <row r="52" spans="1:6" s="2" customFormat="1" ht="17.100000000000001" customHeight="1" thickBot="1">
      <c r="A52" s="321" t="s">
        <v>40</v>
      </c>
      <c r="B52" s="127">
        <f>'C.E.'!C81</f>
        <v>147375.92924545443</v>
      </c>
      <c r="C52" s="127">
        <f>'C.E.'!D81</f>
        <v>158781.22432272721</v>
      </c>
      <c r="D52" s="127">
        <f>'C.E.'!E81</f>
        <v>169114.76907239266</v>
      </c>
      <c r="E52" s="127">
        <f>'C.E.'!F81</f>
        <v>190114.68108786561</v>
      </c>
      <c r="F52" s="127">
        <f>'C.E.'!G81</f>
        <v>209329.71505775617</v>
      </c>
    </row>
    <row r="53" spans="1:6" s="2" customFormat="1" ht="17.100000000000001" customHeight="1" thickTop="1">
      <c r="A53" s="103"/>
      <c r="B53" s="322"/>
    </row>
    <row r="54" spans="1:6" s="2" customFormat="1" ht="17.100000000000001" customHeight="1">
      <c r="A54" s="323" t="s">
        <v>41</v>
      </c>
      <c r="B54" s="324" t="s">
        <v>42</v>
      </c>
      <c r="C54" s="324" t="s">
        <v>43</v>
      </c>
      <c r="D54" s="324" t="s">
        <v>44</v>
      </c>
      <c r="E54" s="324" t="s">
        <v>45</v>
      </c>
      <c r="F54" s="324" t="s">
        <v>46</v>
      </c>
    </row>
    <row r="55" spans="1:6" s="2" customFormat="1" ht="17.100000000000001" customHeight="1" thickBot="1">
      <c r="A55" s="325">
        <f>Menù!K3</f>
        <v>2025</v>
      </c>
      <c r="B55" s="326" t="s">
        <v>26</v>
      </c>
      <c r="C55" s="146">
        <f>'W Plur.'!B142</f>
        <v>815856.36363636353</v>
      </c>
      <c r="D55" s="146">
        <f>Riclassificato!B68</f>
        <v>322713.8778974025</v>
      </c>
      <c r="E55" s="146">
        <f>Riclassificato!B67</f>
        <v>283390.19285714283</v>
      </c>
      <c r="F55" s="146">
        <f>Riclassificato!B21</f>
        <v>249382.04599999989</v>
      </c>
    </row>
    <row r="56" spans="1:6" s="2" customFormat="1" ht="17.100000000000001" customHeight="1" thickTop="1">
      <c r="A56" s="103"/>
    </row>
    <row r="57" spans="1:6" s="2" customFormat="1" ht="17.100000000000001" customHeight="1" thickBot="1">
      <c r="A57" s="116" t="str">
        <f>Riclassificato!A75</f>
        <v>EBITDA Margin</v>
      </c>
      <c r="B57" s="327">
        <f>Riclassificato!B75</f>
        <v>0.33097367680628542</v>
      </c>
      <c r="C57" s="327">
        <f>Riclassificato!D75</f>
        <v>0.32892915578629067</v>
      </c>
      <c r="D57" s="327">
        <f>Riclassificato!E75</f>
        <v>0.32466754769898892</v>
      </c>
      <c r="E57" s="327">
        <f>Riclassificato!F75</f>
        <v>0.33675535759442055</v>
      </c>
      <c r="F57" s="327">
        <f>Riclassificato!G75</f>
        <v>0.34410985839129177</v>
      </c>
    </row>
    <row r="58" spans="1:6" s="2" customFormat="1" ht="17.100000000000001" customHeight="1" thickTop="1" thickBot="1">
      <c r="A58" s="117" t="s">
        <v>47</v>
      </c>
      <c r="B58" s="328">
        <f>Riclassificato!B76</f>
        <v>0.28000000000000003</v>
      </c>
      <c r="C58" s="328">
        <f>Riclassificato!D76</f>
        <v>0.28000000000000003</v>
      </c>
      <c r="D58" s="328">
        <f>Riclassificato!E76</f>
        <v>0.28000000000000003</v>
      </c>
      <c r="E58" s="328">
        <f>Riclassificato!F76</f>
        <v>0.28000000000000003</v>
      </c>
      <c r="F58" s="328">
        <f>Riclassificato!G76</f>
        <v>0.28000000000000003</v>
      </c>
    </row>
    <row r="59" spans="1:6" s="2" customFormat="1" ht="17.100000000000001" customHeight="1" thickTop="1">
      <c r="A59" s="103"/>
      <c r="B59" s="3"/>
      <c r="C59" s="3"/>
      <c r="D59" s="3"/>
      <c r="E59" s="3"/>
      <c r="F59" s="3"/>
    </row>
    <row r="60" spans="1:6" s="2" customFormat="1" ht="17.100000000000001" customHeight="1" thickBot="1">
      <c r="A60" s="329" t="str">
        <f>Riclassificato!A79</f>
        <v>ROS</v>
      </c>
      <c r="B60" s="330">
        <f>Riclassificato!B79</f>
        <v>0.19559368429879292</v>
      </c>
      <c r="C60" s="330">
        <f>Riclassificato!D79</f>
        <v>0.19641957108602226</v>
      </c>
      <c r="D60" s="330">
        <f>Riclassificato!E79</f>
        <v>0.19546995199306522</v>
      </c>
      <c r="E60" s="330">
        <f>Riclassificato!F79</f>
        <v>0.20577167533948867</v>
      </c>
      <c r="F60" s="330">
        <f>Riclassificato!G79</f>
        <v>0.21259192130434609</v>
      </c>
    </row>
    <row r="61" spans="1:6" s="2" customFormat="1" ht="11.25" thickTop="1">
      <c r="A61" s="103"/>
      <c r="B61" s="4"/>
      <c r="C61" s="3"/>
      <c r="D61" s="42"/>
    </row>
    <row r="62" spans="1:6" s="2" customFormat="1" ht="10.5">
      <c r="A62" s="103"/>
    </row>
    <row r="63" spans="1:6" s="2" customFormat="1" ht="10.5">
      <c r="A63" s="103"/>
    </row>
    <row r="64" spans="1:6" s="2" customFormat="1" ht="10.5"/>
    <row r="65" s="2" customFormat="1" ht="10.5"/>
    <row r="66" s="2" customFormat="1" ht="10.5"/>
    <row r="67" s="2" customFormat="1" ht="10.5"/>
    <row r="68" s="2" customFormat="1" ht="10.5"/>
    <row r="69" s="2" customFormat="1" ht="10.5"/>
    <row r="70" s="2" customFormat="1" ht="10.5"/>
    <row r="71" s="2" customFormat="1" ht="10.5"/>
    <row r="72" s="2" customFormat="1" ht="10.5"/>
    <row r="73" s="2" customFormat="1" ht="10.5"/>
    <row r="74" s="2" customFormat="1" ht="10.5"/>
    <row r="75" s="2" customFormat="1" ht="10.5"/>
    <row r="76" s="2" customFormat="1" ht="10.5"/>
    <row r="77" s="2" customFormat="1" ht="10.5"/>
    <row r="78" s="2" customFormat="1" ht="10.5"/>
    <row r="79" s="2" customFormat="1" ht="10.5"/>
    <row r="80" s="2" customFormat="1" ht="10.5"/>
    <row r="81" s="2" customFormat="1" ht="10.5"/>
    <row r="82" s="2" customFormat="1" ht="10.5"/>
    <row r="83" s="2" customFormat="1" ht="10.5"/>
    <row r="84" s="2" customFormat="1" ht="10.5"/>
    <row r="85" s="2" customFormat="1" ht="10.5"/>
    <row r="86" s="2" customFormat="1" ht="10.5"/>
    <row r="87" s="2" customFormat="1" ht="10.5"/>
    <row r="88" s="2" customFormat="1" ht="10.5"/>
    <row r="89" s="2" customFormat="1" ht="10.5"/>
    <row r="90" s="2" customFormat="1" ht="10.5"/>
    <row r="91" s="2" customFormat="1" ht="10.5"/>
    <row r="92" s="2" customFormat="1" ht="10.5"/>
    <row r="93" s="2" customFormat="1" ht="10.5"/>
    <row r="94" s="2" customFormat="1" ht="10.5"/>
    <row r="95" s="2" customFormat="1" ht="10.5"/>
    <row r="96" s="2" customFormat="1" ht="10.5"/>
    <row r="97" s="2" customFormat="1" ht="10.5"/>
    <row r="98" s="2" customFormat="1" ht="10.5"/>
    <row r="99" s="2" customFormat="1" ht="10.5"/>
    <row r="100" s="2" customFormat="1" ht="10.5"/>
    <row r="101" s="2" customFormat="1" ht="10.5"/>
    <row r="102" s="2" customFormat="1" ht="10.5"/>
    <row r="103" s="2" customFormat="1" ht="10.5"/>
    <row r="104" s="2" customFormat="1" ht="10.5"/>
    <row r="105" s="2" customFormat="1" ht="10.5"/>
    <row r="106" s="2" customFormat="1" ht="10.5"/>
    <row r="107" s="2" customFormat="1" ht="10.5"/>
    <row r="108" s="2" customFormat="1" ht="10.5"/>
    <row r="109" s="2" customFormat="1" ht="10.5"/>
    <row r="110" s="2" customFormat="1" ht="10.5"/>
    <row r="111" s="2" customFormat="1" ht="10.5"/>
    <row r="112" s="2" customFormat="1" ht="10.5"/>
    <row r="113" s="2" customFormat="1" ht="10.5"/>
    <row r="114" s="2" customFormat="1" ht="10.5"/>
    <row r="115" s="2" customFormat="1" ht="10.5"/>
    <row r="116" s="2" customFormat="1" ht="10.5"/>
    <row r="117" s="2" customFormat="1" ht="10.5"/>
    <row r="118" s="2" customFormat="1" ht="10.5"/>
    <row r="119" s="2" customFormat="1" ht="10.5"/>
    <row r="120" s="2" customFormat="1" ht="10.5"/>
    <row r="121" s="2" customFormat="1" ht="10.5"/>
    <row r="122" s="2" customFormat="1" ht="10.5"/>
    <row r="123" s="2" customFormat="1" ht="10.5"/>
    <row r="124" s="2" customFormat="1" ht="10.5"/>
    <row r="125" s="2" customFormat="1" ht="10.5"/>
    <row r="126" s="2" customFormat="1" ht="10.5"/>
    <row r="127" s="2" customFormat="1" ht="10.5"/>
    <row r="128" s="2" customFormat="1" ht="10.5"/>
    <row r="129" s="2" customFormat="1" ht="10.5"/>
    <row r="130" s="2" customFormat="1" ht="10.5"/>
    <row r="131" s="2" customFormat="1" ht="10.5"/>
    <row r="132" s="2" customFormat="1" ht="10.5"/>
    <row r="133" s="2" customFormat="1" ht="10.5"/>
    <row r="134" s="2" customFormat="1" ht="10.5"/>
    <row r="135" s="2" customFormat="1" ht="10.5"/>
    <row r="136" s="2" customFormat="1" ht="10.5"/>
    <row r="137" s="2" customFormat="1" ht="10.5"/>
    <row r="138" s="2" customFormat="1" ht="10.5"/>
    <row r="139" s="2" customFormat="1" ht="10.5"/>
    <row r="140" s="2" customFormat="1" ht="10.5"/>
    <row r="141" s="2" customFormat="1" ht="10.5"/>
    <row r="142" s="2" customFormat="1" ht="10.5"/>
    <row r="143" s="2" customFormat="1" ht="10.5"/>
    <row r="144" s="2" customFormat="1" ht="10.5"/>
    <row r="145" s="2" customFormat="1" ht="10.5"/>
    <row r="146" s="2" customFormat="1" ht="10.5"/>
    <row r="147" s="2" customFormat="1" ht="10.5"/>
    <row r="148" s="2" customFormat="1" ht="10.5"/>
    <row r="149" s="2" customFormat="1" ht="10.5"/>
    <row r="150" s="2" customFormat="1" ht="10.5"/>
    <row r="151" s="2" customFormat="1" ht="10.5"/>
    <row r="152" s="2" customFormat="1" ht="10.5"/>
    <row r="153" s="2" customFormat="1" ht="10.5"/>
    <row r="154" s="2" customFormat="1" ht="10.5"/>
    <row r="155" s="2" customFormat="1" ht="10.5"/>
    <row r="156" s="2" customFormat="1" ht="10.5"/>
    <row r="157" s="2" customFormat="1" ht="10.5"/>
    <row r="158" s="2" customFormat="1" ht="10.5"/>
    <row r="159" s="2" customFormat="1" ht="10.5"/>
    <row r="160" s="2" customFormat="1" ht="10.5"/>
    <row r="161" s="2" customFormat="1" ht="10.5"/>
    <row r="162" s="2" customFormat="1" ht="10.5"/>
    <row r="163" s="2" customFormat="1" ht="10.5"/>
    <row r="164" s="2" customFormat="1" ht="10.5"/>
    <row r="165" s="2" customFormat="1" ht="10.5"/>
    <row r="166" s="2" customFormat="1" ht="10.5"/>
    <row r="167" s="2" customFormat="1" ht="10.5"/>
    <row r="168" s="2" customFormat="1" ht="10.5"/>
    <row r="169" s="2" customFormat="1" ht="10.5"/>
    <row r="170" s="2" customFormat="1" ht="10.5"/>
    <row r="171" s="2" customFormat="1" ht="10.5"/>
    <row r="172" s="2" customFormat="1" ht="10.5"/>
    <row r="173" s="2" customFormat="1" ht="10.5"/>
    <row r="174" s="2" customFormat="1" ht="10.5"/>
    <row r="175" s="2" customFormat="1" ht="10.5"/>
    <row r="176" s="2" customFormat="1" ht="10.5"/>
    <row r="177" s="2" customFormat="1" ht="10.5"/>
    <row r="178" s="2" customFormat="1" ht="10.5"/>
    <row r="179" s="2" customFormat="1" ht="10.5"/>
    <row r="180" s="2" customFormat="1" ht="10.5"/>
    <row r="181" s="2" customFormat="1" ht="10.5"/>
    <row r="182" s="2" customFormat="1" ht="10.5"/>
    <row r="183" s="2" customFormat="1" ht="10.5"/>
    <row r="184" s="2" customFormat="1" ht="10.5"/>
    <row r="185" s="2" customFormat="1" ht="10.5"/>
    <row r="186" s="2" customFormat="1" ht="10.5"/>
    <row r="187" s="2" customFormat="1" ht="10.5"/>
    <row r="188" s="2" customFormat="1" ht="10.5"/>
    <row r="189" s="2" customFormat="1" ht="10.5"/>
    <row r="190" s="2" customFormat="1" ht="10.5"/>
    <row r="191" s="2" customFormat="1" ht="10.5"/>
    <row r="192" s="2" customFormat="1" ht="10.5"/>
    <row r="193" s="2" customFormat="1" ht="10.5"/>
    <row r="194" s="2" customFormat="1" ht="10.5"/>
    <row r="195" s="2" customFormat="1" ht="10.5"/>
    <row r="196" s="2" customFormat="1" ht="10.5"/>
    <row r="197" s="2" customFormat="1" ht="10.5"/>
    <row r="198" s="2" customFormat="1" ht="10.5"/>
    <row r="199" s="2" customFormat="1" ht="10.5"/>
    <row r="200" s="2" customFormat="1" ht="10.5"/>
    <row r="201" s="2" customFormat="1" ht="10.5"/>
    <row r="202" s="2" customFormat="1" ht="10.5"/>
    <row r="203" s="2" customFormat="1" ht="10.5"/>
    <row r="204" s="2" customFormat="1" ht="10.5"/>
    <row r="205" s="2" customFormat="1" ht="10.5"/>
    <row r="206" s="2" customFormat="1" ht="10.5"/>
    <row r="207" s="2" customFormat="1" ht="10.5"/>
    <row r="208" s="2" customFormat="1" ht="10.5"/>
    <row r="209" s="2" customFormat="1" ht="10.5"/>
    <row r="210" s="2" customFormat="1" ht="10.5"/>
    <row r="211" s="2" customFormat="1" ht="10.5"/>
    <row r="212" s="2" customFormat="1" ht="10.5"/>
    <row r="213" s="2" customFormat="1" ht="10.5"/>
    <row r="214" s="2" customFormat="1" ht="10.5"/>
    <row r="215" s="2" customFormat="1" ht="10.5"/>
    <row r="216" s="2" customFormat="1" ht="10.5"/>
    <row r="217" s="2" customFormat="1" ht="10.5"/>
    <row r="218" s="2" customFormat="1" ht="10.5"/>
    <row r="219" s="2" customFormat="1" ht="10.5"/>
    <row r="220" s="2" customFormat="1" ht="10.5"/>
    <row r="221" s="2" customFormat="1" ht="10.5"/>
    <row r="222" s="2" customFormat="1" ht="10.5"/>
    <row r="223" s="2" customFormat="1" ht="10.5"/>
    <row r="224" s="2" customFormat="1" ht="10.5"/>
    <row r="225" s="2" customFormat="1" ht="10.5"/>
    <row r="226" s="2" customFormat="1" ht="10.5"/>
    <row r="227" s="2" customFormat="1" ht="10.5"/>
    <row r="228" s="2" customFormat="1" ht="10.5"/>
    <row r="229" s="2" customFormat="1" ht="10.5"/>
    <row r="230" s="2" customFormat="1" ht="10.5"/>
    <row r="231" s="2" customFormat="1" ht="10.5"/>
    <row r="232" s="2" customFormat="1" ht="10.5"/>
    <row r="233" s="2" customFormat="1" ht="10.5"/>
    <row r="234" s="2" customFormat="1" ht="10.5"/>
    <row r="235" s="2" customFormat="1" ht="10.5"/>
    <row r="236" s="2" customFormat="1" ht="10.5"/>
    <row r="237" s="2" customFormat="1" ht="10.5"/>
    <row r="238" s="2" customFormat="1" ht="10.5"/>
    <row r="239" s="2" customFormat="1" ht="10.5"/>
    <row r="240" s="2" customFormat="1" ht="10.5"/>
    <row r="241" s="2" customFormat="1" ht="10.5"/>
    <row r="242" s="2" customFormat="1" ht="10.5"/>
    <row r="243" s="2" customFormat="1" ht="10.5"/>
    <row r="244" s="2" customFormat="1" ht="10.5"/>
    <row r="245" s="2" customFormat="1" ht="10.5"/>
    <row r="246" s="2" customFormat="1" ht="10.5"/>
    <row r="247" s="2" customFormat="1" ht="10.5"/>
    <row r="248" s="2" customFormat="1" ht="10.5"/>
    <row r="249" s="2" customFormat="1" ht="10.5"/>
    <row r="250" s="2" customFormat="1" ht="10.5"/>
    <row r="251" s="2" customFormat="1" ht="10.5"/>
    <row r="252" s="2" customFormat="1" ht="10.5"/>
    <row r="253" s="2" customFormat="1" ht="10.5"/>
    <row r="254" s="2" customFormat="1" ht="10.5"/>
    <row r="255" s="2" customFormat="1" ht="10.5"/>
    <row r="256" s="2" customFormat="1" ht="10.5"/>
    <row r="257" s="2" customFormat="1" ht="10.5"/>
    <row r="258" s="2" customFormat="1" ht="10.5"/>
    <row r="259" s="2" customFormat="1" ht="10.5"/>
    <row r="260" s="2" customFormat="1" ht="10.5"/>
    <row r="261" s="2" customFormat="1" ht="10.5"/>
    <row r="262" s="2" customFormat="1" ht="10.5"/>
    <row r="263" s="2" customFormat="1" ht="10.5"/>
    <row r="264" s="2" customFormat="1" ht="10.5"/>
    <row r="265" s="2" customFormat="1" ht="10.5"/>
    <row r="266" s="2" customFormat="1" ht="10.5"/>
    <row r="267" s="2" customFormat="1" ht="10.5"/>
    <row r="268" s="2" customFormat="1" ht="10.5"/>
    <row r="269" s="2" customFormat="1" ht="10.5"/>
    <row r="270" s="2" customFormat="1" ht="10.5"/>
    <row r="271" s="2" customFormat="1" ht="10.5"/>
    <row r="272" s="2" customFormat="1" ht="10.5"/>
    <row r="273" s="2" customFormat="1" ht="10.5"/>
    <row r="274" s="2" customFormat="1" ht="10.5"/>
    <row r="275" s="2" customFormat="1" ht="10.5"/>
    <row r="276" s="2" customFormat="1" ht="10.5"/>
    <row r="277" s="2" customFormat="1" ht="10.5"/>
    <row r="278" s="2" customFormat="1" ht="10.5"/>
    <row r="279" s="2" customFormat="1" ht="10.5"/>
    <row r="280" s="2" customFormat="1" ht="10.5"/>
    <row r="281" s="2" customFormat="1" ht="10.5"/>
    <row r="282" s="2" customFormat="1" ht="10.5"/>
    <row r="283" s="2" customFormat="1" ht="10.5"/>
    <row r="284" s="2" customFormat="1" ht="10.5"/>
    <row r="285" s="2" customFormat="1" ht="10.5"/>
    <row r="286" s="2" customFormat="1" ht="10.5"/>
    <row r="287" s="2" customFormat="1" ht="10.5"/>
    <row r="288" s="2" customFormat="1" ht="10.5"/>
    <row r="289" s="2" customFormat="1" ht="10.5"/>
    <row r="290" s="2" customFormat="1" ht="10.5"/>
    <row r="291" s="2" customFormat="1" ht="10.5"/>
    <row r="292" s="2" customFormat="1" ht="10.5"/>
    <row r="293" s="2" customFormat="1" ht="10.5"/>
    <row r="294" s="2" customFormat="1" ht="10.5"/>
    <row r="295" s="2" customFormat="1" ht="10.5"/>
    <row r="296" s="2" customFormat="1" ht="10.5"/>
    <row r="297" s="2" customFormat="1" ht="10.5"/>
    <row r="298" s="2" customFormat="1" ht="10.5"/>
    <row r="299" s="2" customFormat="1" ht="10.5"/>
    <row r="300" s="2" customFormat="1" ht="10.5"/>
    <row r="301" s="2" customFormat="1" ht="10.5"/>
    <row r="302" s="2" customFormat="1" ht="10.5"/>
    <row r="303" s="2" customFormat="1" ht="10.5"/>
    <row r="304" s="2" customFormat="1" ht="10.5"/>
    <row r="305" s="2" customFormat="1" ht="10.5"/>
    <row r="306" s="2" customFormat="1" ht="10.5"/>
    <row r="307" s="2" customFormat="1" ht="10.5"/>
    <row r="308" s="2" customFormat="1" ht="10.5"/>
    <row r="309" s="2" customFormat="1" ht="10.5"/>
    <row r="310" s="2" customFormat="1" ht="10.5"/>
    <row r="311" s="2" customFormat="1" ht="10.5"/>
    <row r="312" s="2" customFormat="1" ht="10.5"/>
    <row r="313" s="2" customFormat="1" ht="10.5"/>
    <row r="314" s="2" customFormat="1" ht="10.5"/>
    <row r="315" s="2" customFormat="1" ht="10.5"/>
    <row r="316" s="2" customFormat="1" ht="10.5"/>
    <row r="317" s="2" customFormat="1" ht="10.5"/>
    <row r="318" s="2" customFormat="1" ht="10.5"/>
    <row r="319" s="2" customFormat="1" ht="10.5"/>
    <row r="320" s="2" customFormat="1" ht="10.5"/>
    <row r="321" s="2" customFormat="1" ht="10.5"/>
    <row r="322" s="2" customFormat="1" ht="10.5"/>
    <row r="323" s="2" customFormat="1" ht="10.5"/>
    <row r="324" s="2" customFormat="1" ht="10.5"/>
    <row r="325" s="2" customFormat="1" ht="10.5"/>
    <row r="326" s="2" customFormat="1" ht="10.5"/>
    <row r="327" s="2" customFormat="1" ht="10.5"/>
    <row r="328" s="2" customFormat="1" ht="10.5"/>
    <row r="329" s="2" customFormat="1" ht="10.5"/>
    <row r="330" s="2" customFormat="1" ht="10.5"/>
    <row r="331" s="2" customFormat="1" ht="10.5"/>
    <row r="332" s="2" customFormat="1" ht="10.5"/>
    <row r="333" s="2" customFormat="1" ht="10.5"/>
    <row r="334" s="2" customFormat="1" ht="10.5"/>
    <row r="335" s="2" customFormat="1" ht="10.5"/>
    <row r="336" s="2" customFormat="1" ht="10.5"/>
    <row r="337" s="2" customFormat="1" ht="10.5"/>
    <row r="338" s="2" customFormat="1" ht="10.5"/>
    <row r="339" s="2" customFormat="1" ht="10.5"/>
    <row r="340" s="2" customFormat="1" ht="10.5"/>
    <row r="341" s="2" customFormat="1" ht="10.5"/>
    <row r="342" s="2" customFormat="1" ht="10.5"/>
    <row r="343" s="2" customFormat="1" ht="10.5"/>
    <row r="344" s="2" customFormat="1" ht="10.5"/>
    <row r="345" s="2" customFormat="1" ht="10.5"/>
    <row r="346" s="2" customFormat="1" ht="10.5"/>
    <row r="347" s="2" customFormat="1" ht="10.5"/>
    <row r="348" s="2" customFormat="1" ht="10.5"/>
    <row r="349" s="2" customFormat="1" ht="10.5"/>
    <row r="350" s="2" customFormat="1" ht="10.5"/>
    <row r="351" s="2" customFormat="1" ht="10.5"/>
    <row r="352" s="2" customFormat="1" ht="10.5"/>
    <row r="353" s="2" customFormat="1" ht="10.5"/>
    <row r="354" s="2" customFormat="1" ht="10.5"/>
    <row r="355" s="2" customFormat="1" ht="10.5"/>
    <row r="356" s="2" customFormat="1" ht="10.5"/>
    <row r="357" s="2" customFormat="1" ht="10.5"/>
    <row r="358" s="2" customFormat="1" ht="10.5"/>
    <row r="359" s="2" customFormat="1" ht="10.5"/>
    <row r="360" s="2" customFormat="1" ht="10.5"/>
    <row r="361" s="2" customFormat="1" ht="10.5"/>
    <row r="362" s="2" customFormat="1" ht="10.5"/>
    <row r="363" s="2" customFormat="1" ht="10.5"/>
    <row r="364" s="2" customFormat="1" ht="10.5"/>
    <row r="365" s="2" customFormat="1" ht="10.5"/>
    <row r="366" s="2" customFormat="1" ht="10.5"/>
    <row r="367" s="2" customFormat="1" ht="10.5"/>
    <row r="368" s="2" customFormat="1" ht="10.5"/>
    <row r="369" s="2" customFormat="1" ht="10.5"/>
    <row r="370" s="2" customFormat="1" ht="10.5"/>
    <row r="371" s="2" customFormat="1" ht="10.5"/>
    <row r="372" s="2" customFormat="1" ht="10.5"/>
    <row r="373" s="2" customFormat="1" ht="10.5"/>
    <row r="374" s="2" customFormat="1" ht="10.5"/>
    <row r="375" s="2" customFormat="1" ht="10.5"/>
    <row r="376" s="2" customFormat="1" ht="10.5"/>
    <row r="377" s="2" customFormat="1" ht="10.5"/>
    <row r="378" s="2" customFormat="1" ht="10.5"/>
    <row r="379" s="2" customFormat="1" ht="10.5"/>
    <row r="380" s="2" customFormat="1" ht="10.5"/>
    <row r="381" s="2" customFormat="1" ht="10.5"/>
    <row r="382" s="2" customFormat="1" ht="10.5"/>
    <row r="383" s="2" customFormat="1" ht="10.5"/>
    <row r="384" s="2" customFormat="1" ht="10.5"/>
    <row r="385" s="2" customFormat="1" ht="10.5"/>
    <row r="386" s="2" customFormat="1" ht="10.5"/>
    <row r="387" s="2" customFormat="1" ht="10.5"/>
    <row r="388" s="2" customFormat="1" ht="10.5"/>
    <row r="389" s="2" customFormat="1" ht="10.5"/>
    <row r="390" s="2" customFormat="1" ht="10.5"/>
    <row r="391" s="2" customFormat="1" ht="10.5"/>
    <row r="392" s="2" customFormat="1" ht="10.5"/>
    <row r="393" s="2" customFormat="1" ht="10.5"/>
    <row r="394" s="2" customFormat="1" ht="10.5"/>
    <row r="395" s="2" customFormat="1" ht="10.5"/>
    <row r="396" s="2" customFormat="1" ht="10.5"/>
    <row r="397" s="2" customFormat="1" ht="10.5"/>
    <row r="398" s="2" customFormat="1" ht="10.5"/>
    <row r="399" s="2" customFormat="1" ht="10.5"/>
    <row r="400" s="2" customFormat="1" ht="10.5"/>
    <row r="401" s="2" customFormat="1" ht="10.5"/>
    <row r="402" s="2" customFormat="1" ht="10.5"/>
    <row r="403" s="2" customFormat="1" ht="10.5"/>
    <row r="404" s="2" customFormat="1" ht="10.5"/>
    <row r="405" s="2" customFormat="1" ht="10.5"/>
    <row r="406" s="2" customFormat="1" ht="10.5"/>
    <row r="407" s="2" customFormat="1" ht="10.5"/>
    <row r="408" s="2" customFormat="1" ht="10.5"/>
    <row r="409" s="2" customFormat="1" ht="10.5"/>
    <row r="410" s="2" customFormat="1" ht="10.5"/>
    <row r="411" s="2" customFormat="1" ht="10.5"/>
    <row r="412" s="2" customFormat="1" ht="10.5"/>
    <row r="413" s="2" customFormat="1" ht="10.5"/>
    <row r="414" s="2" customFormat="1" ht="10.5"/>
    <row r="415" s="2" customFormat="1" ht="10.5"/>
    <row r="416" s="2" customFormat="1" ht="10.5"/>
    <row r="417" s="2" customFormat="1" ht="10.5"/>
    <row r="418" s="2" customFormat="1" ht="10.5"/>
    <row r="419" s="2" customFormat="1" ht="10.5"/>
    <row r="420" s="2" customFormat="1" ht="10.5"/>
    <row r="421" s="2" customFormat="1" ht="10.5"/>
    <row r="422" s="2" customFormat="1" ht="10.5"/>
    <row r="423" s="2" customFormat="1" ht="10.5"/>
    <row r="424" s="2" customFormat="1" ht="10.5"/>
    <row r="425" s="2" customFormat="1" ht="10.5"/>
    <row r="426" s="2" customFormat="1" ht="10.5"/>
    <row r="427" s="2" customFormat="1" ht="10.5"/>
    <row r="428" s="2" customFormat="1" ht="10.5"/>
    <row r="429" s="2" customFormat="1" ht="10.5"/>
    <row r="430" s="2" customFormat="1" ht="10.5"/>
    <row r="431" s="2" customFormat="1" ht="10.5"/>
    <row r="432" s="2" customFormat="1" ht="10.5"/>
    <row r="433" s="2" customFormat="1" ht="10.5"/>
    <row r="434" s="2" customFormat="1" ht="10.5"/>
    <row r="435" s="2" customFormat="1" ht="10.5"/>
    <row r="436" s="2" customFormat="1" ht="10.5"/>
    <row r="437" s="2" customFormat="1" ht="10.5"/>
    <row r="438" s="2" customFormat="1" ht="10.5"/>
    <row r="439" s="2" customFormat="1" ht="10.5"/>
    <row r="440" s="2" customFormat="1" ht="10.5"/>
    <row r="441" s="2" customFormat="1" ht="10.5"/>
    <row r="442" s="2" customFormat="1" ht="10.5"/>
    <row r="443" s="2" customFormat="1" ht="10.5"/>
    <row r="444" s="2" customFormat="1" ht="10.5"/>
    <row r="445" s="2" customFormat="1" ht="10.5"/>
  </sheetData>
  <sheetProtection algorithmName="SHA-512" hashValue="dCmYAe7hKY3j0hKttGclCbjYurqiT0IrCIFMbiaWFWKOjH1P7rJp0tgpzViGygWXro+cz5XSa7E1ugAXYMrcgA==" saltValue="6+UZYiALPjcq8ahsw+0ZyQ==" spinCount="100000" sheet="1" objects="1" scenarios="1" selectLockedCells="1"/>
  <mergeCells count="3">
    <mergeCell ref="A1:F1"/>
    <mergeCell ref="A2:F2"/>
    <mergeCell ref="A3:F3"/>
  </mergeCells>
  <printOptions horizontalCentered="1"/>
  <pageMargins left="0.31496062992125984" right="0.31496062992125984" top="0.39370078740157483" bottom="0.39370078740157483" header="0.15748031496062992" footer="0.15748031496062992"/>
  <pageSetup paperSize="9" scale="57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46"/>
  <sheetViews>
    <sheetView topLeftCell="A50" workbookViewId="0">
      <selection activeCell="J12" sqref="J12"/>
    </sheetView>
  </sheetViews>
  <sheetFormatPr defaultColWidth="33.85546875" defaultRowHeight="12.75"/>
  <cols>
    <col min="1" max="1" width="15.5703125" bestFit="1" customWidth="1"/>
    <col min="2" max="2" width="5" bestFit="1" customWidth="1"/>
    <col min="3" max="3" width="7.85546875" bestFit="1" customWidth="1"/>
    <col min="4" max="4" width="14.85546875" bestFit="1" customWidth="1"/>
    <col min="5" max="5" width="4.7109375" bestFit="1" customWidth="1"/>
    <col min="6" max="6" width="5.28515625" bestFit="1" customWidth="1"/>
    <col min="7" max="7" width="4.7109375" bestFit="1" customWidth="1"/>
    <col min="8" max="8" width="5.28515625" bestFit="1" customWidth="1"/>
    <col min="9" max="9" width="4.7109375" bestFit="1" customWidth="1"/>
    <col min="10" max="10" width="15.7109375" bestFit="1" customWidth="1"/>
    <col min="11" max="11" width="12.42578125" customWidth="1"/>
    <col min="12" max="12" width="10.85546875" bestFit="1" customWidth="1"/>
    <col min="13" max="16" width="13" customWidth="1"/>
  </cols>
  <sheetData>
    <row r="1" spans="1:22" ht="24" customHeight="1">
      <c r="A1" s="554" t="str">
        <f>Menù!D3</f>
        <v>Trovato 1929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</row>
    <row r="2" spans="1:22" ht="42.95" customHeight="1">
      <c r="A2" s="555" t="str">
        <f>Menù!A2</f>
        <v>Budget e Business Plan</v>
      </c>
      <c r="B2" s="555"/>
      <c r="C2" s="555"/>
      <c r="D2" s="555"/>
      <c r="E2" s="555"/>
      <c r="F2" s="555"/>
      <c r="G2" s="555"/>
      <c r="H2" s="555"/>
      <c r="I2" s="555"/>
      <c r="J2" s="555"/>
      <c r="K2" s="555"/>
      <c r="L2" s="555"/>
      <c r="M2" s="555"/>
      <c r="N2" s="555"/>
      <c r="O2" s="555"/>
      <c r="P2" s="555"/>
    </row>
    <row r="3" spans="1:22">
      <c r="A3" s="556" t="s">
        <v>48</v>
      </c>
      <c r="B3" s="556"/>
      <c r="C3" s="556"/>
      <c r="D3" s="556"/>
      <c r="E3" s="556"/>
      <c r="F3" s="556"/>
      <c r="G3" s="556"/>
      <c r="H3" s="556"/>
      <c r="I3" s="556"/>
      <c r="J3" s="556"/>
      <c r="K3" s="556"/>
      <c r="L3" s="556"/>
      <c r="M3" s="556"/>
      <c r="N3" s="556"/>
      <c r="O3" s="556"/>
      <c r="P3" s="556"/>
    </row>
    <row r="5" spans="1:22">
      <c r="A5" s="174" t="s">
        <v>49</v>
      </c>
      <c r="B5" s="174" t="s">
        <v>50</v>
      </c>
      <c r="C5" s="174" t="s">
        <v>51</v>
      </c>
      <c r="D5" s="174" t="s">
        <v>52</v>
      </c>
      <c r="E5" s="174">
        <f>'Controll Panel'!B5</f>
        <v>2025</v>
      </c>
      <c r="F5" s="174">
        <f>'Controll Panel'!C5</f>
        <v>2026</v>
      </c>
      <c r="G5" s="174">
        <f>'Controll Panel'!D5</f>
        <v>2027</v>
      </c>
      <c r="H5" s="174">
        <f>'Controll Panel'!E5</f>
        <v>2028</v>
      </c>
      <c r="I5" s="174">
        <f>'Controll Panel'!F5</f>
        <v>2029</v>
      </c>
      <c r="J5" s="174" t="s">
        <v>53</v>
      </c>
      <c r="K5" s="174" t="str">
        <f>"€ "&amp;E5</f>
        <v>€ 2025</v>
      </c>
      <c r="L5" s="174" t="str">
        <f>"€ "&amp;E5&amp;" Cons."</f>
        <v>€ 2025 Cons.</v>
      </c>
      <c r="M5" s="174" t="str">
        <f>"€ "&amp;F5</f>
        <v>€ 2026</v>
      </c>
      <c r="N5" s="174" t="str">
        <f>"€ "&amp;G5</f>
        <v>€ 2027</v>
      </c>
      <c r="O5" s="174" t="str">
        <f>"€ "&amp;H5</f>
        <v>€ 2028</v>
      </c>
      <c r="P5" s="174" t="str">
        <f>"€ "&amp;I5</f>
        <v>€ 2029</v>
      </c>
    </row>
    <row r="6" spans="1:22">
      <c r="A6" s="131" t="s">
        <v>54</v>
      </c>
      <c r="B6" s="131">
        <v>1</v>
      </c>
      <c r="C6" s="131" t="s">
        <v>55</v>
      </c>
      <c r="D6" s="133" t="s">
        <v>56</v>
      </c>
      <c r="E6" s="131">
        <v>1</v>
      </c>
      <c r="F6" s="131">
        <v>1.1000000000000001</v>
      </c>
      <c r="G6" s="131">
        <v>1.05</v>
      </c>
      <c r="H6" s="131">
        <v>1.05</v>
      </c>
      <c r="I6" s="131">
        <v>1.05</v>
      </c>
      <c r="J6" s="132">
        <v>35000</v>
      </c>
      <c r="K6" s="132">
        <f t="shared" ref="K6:K7" si="0">$J6*E6</f>
        <v>35000</v>
      </c>
      <c r="L6" s="132"/>
      <c r="M6" s="132">
        <f>K6+(K6*(F6-1))</f>
        <v>38500</v>
      </c>
      <c r="N6" s="132">
        <f>M6+(M6*(G6-1))</f>
        <v>40425</v>
      </c>
      <c r="O6" s="132">
        <f>N6+(N6*(H6-1))</f>
        <v>42446.25</v>
      </c>
      <c r="P6" s="132">
        <f>O6+(O6*(I6-1))</f>
        <v>44568.5625</v>
      </c>
      <c r="Q6" s="102"/>
      <c r="R6" s="139"/>
      <c r="S6" s="137"/>
      <c r="T6" s="137"/>
      <c r="U6" s="137"/>
      <c r="V6" s="137"/>
    </row>
    <row r="7" spans="1:22">
      <c r="A7" s="131" t="s">
        <v>54</v>
      </c>
      <c r="B7" s="131">
        <v>2</v>
      </c>
      <c r="C7" s="131" t="s">
        <v>55</v>
      </c>
      <c r="D7" s="133" t="s">
        <v>56</v>
      </c>
      <c r="E7" s="131">
        <v>0</v>
      </c>
      <c r="F7" s="131">
        <v>1.1000000000000001</v>
      </c>
      <c r="G7" s="131">
        <v>1.05</v>
      </c>
      <c r="H7" s="131">
        <v>1.05</v>
      </c>
      <c r="I7" s="131">
        <v>1.05</v>
      </c>
      <c r="J7" s="132">
        <v>35000</v>
      </c>
      <c r="K7" s="132">
        <f t="shared" si="0"/>
        <v>0</v>
      </c>
      <c r="L7" s="132"/>
      <c r="M7" s="132">
        <f t="shared" ref="M7:M20" si="1">K7+(K7*(F7-1))</f>
        <v>0</v>
      </c>
      <c r="N7" s="132">
        <f t="shared" ref="N7:N19" si="2">M7+(M7*(G7-1))</f>
        <v>0</v>
      </c>
      <c r="O7" s="132">
        <f t="shared" ref="O7:O19" si="3">N7+(N7*(H7-1))</f>
        <v>0</v>
      </c>
      <c r="P7" s="132">
        <f t="shared" ref="P7:P19" si="4">O7+(O7*(I7-1))</f>
        <v>0</v>
      </c>
      <c r="R7" s="136"/>
      <c r="S7" s="137"/>
      <c r="T7" s="137"/>
      <c r="U7" s="137"/>
      <c r="V7" s="137"/>
    </row>
    <row r="8" spans="1:22">
      <c r="A8" s="131" t="s">
        <v>57</v>
      </c>
      <c r="B8" s="131">
        <v>3</v>
      </c>
      <c r="C8" s="131" t="s">
        <v>58</v>
      </c>
      <c r="D8" s="133" t="s">
        <v>59</v>
      </c>
      <c r="E8" s="131">
        <v>1</v>
      </c>
      <c r="F8" s="131">
        <v>1.1000000000000001</v>
      </c>
      <c r="G8" s="131">
        <v>1.05</v>
      </c>
      <c r="H8" s="131">
        <v>1.05</v>
      </c>
      <c r="I8" s="131">
        <v>1.05</v>
      </c>
      <c r="J8" s="132">
        <v>25464.93</v>
      </c>
      <c r="K8" s="132">
        <f t="shared" ref="K8:K9" si="5">$J8*E8</f>
        <v>25464.93</v>
      </c>
      <c r="L8" s="132"/>
      <c r="M8" s="132">
        <f t="shared" si="1"/>
        <v>28011.423000000003</v>
      </c>
      <c r="N8" s="132">
        <f t="shared" si="2"/>
        <v>29411.994150000002</v>
      </c>
      <c r="O8" s="132">
        <f t="shared" si="3"/>
        <v>30882.593857500004</v>
      </c>
      <c r="P8" s="132">
        <f t="shared" si="4"/>
        <v>32426.723550375005</v>
      </c>
      <c r="R8" s="136"/>
      <c r="S8" s="137"/>
      <c r="T8" s="137"/>
      <c r="U8" s="137"/>
      <c r="V8" s="137"/>
    </row>
    <row r="9" spans="1:22">
      <c r="A9" s="131" t="s">
        <v>57</v>
      </c>
      <c r="B9" s="131">
        <v>4</v>
      </c>
      <c r="C9" s="131" t="s">
        <v>58</v>
      </c>
      <c r="D9" s="133" t="s">
        <v>59</v>
      </c>
      <c r="E9" s="131">
        <v>0</v>
      </c>
      <c r="F9" s="131">
        <v>1.1000000000000001</v>
      </c>
      <c r="G9" s="131">
        <v>1.05</v>
      </c>
      <c r="H9" s="131">
        <v>1.05</v>
      </c>
      <c r="I9" s="131">
        <v>1.05</v>
      </c>
      <c r="J9" s="132">
        <v>25464.93</v>
      </c>
      <c r="K9" s="132">
        <f t="shared" si="5"/>
        <v>0</v>
      </c>
      <c r="L9" s="132"/>
      <c r="M9" s="132">
        <f t="shared" si="1"/>
        <v>0</v>
      </c>
      <c r="N9" s="132">
        <f t="shared" si="2"/>
        <v>0</v>
      </c>
      <c r="O9" s="132">
        <f t="shared" si="3"/>
        <v>0</v>
      </c>
      <c r="P9" s="132">
        <f t="shared" si="4"/>
        <v>0</v>
      </c>
      <c r="R9" s="136"/>
      <c r="S9" s="137"/>
      <c r="T9" s="137"/>
      <c r="U9" s="137"/>
      <c r="V9" s="137"/>
    </row>
    <row r="10" spans="1:22">
      <c r="A10" s="131" t="s">
        <v>57</v>
      </c>
      <c r="B10" s="131">
        <v>5</v>
      </c>
      <c r="C10" s="131" t="s">
        <v>58</v>
      </c>
      <c r="D10" s="133" t="s">
        <v>59</v>
      </c>
      <c r="E10" s="131">
        <v>1</v>
      </c>
      <c r="F10" s="131">
        <v>1.1000000000000001</v>
      </c>
      <c r="G10" s="131">
        <v>1.05</v>
      </c>
      <c r="H10" s="131">
        <v>1.05</v>
      </c>
      <c r="I10" s="131">
        <v>1.05</v>
      </c>
      <c r="J10" s="132">
        <v>25464.93</v>
      </c>
      <c r="K10" s="132">
        <f t="shared" ref="K10:K20" si="6">$J10*E10</f>
        <v>25464.93</v>
      </c>
      <c r="L10" s="132"/>
      <c r="M10" s="132">
        <f t="shared" ref="M10:M13" si="7">K10+(K10*(F10-1))</f>
        <v>28011.423000000003</v>
      </c>
      <c r="N10" s="132">
        <f t="shared" ref="N10:N13" si="8">M10+(M10*(G10-1))</f>
        <v>29411.994150000002</v>
      </c>
      <c r="O10" s="132">
        <f t="shared" ref="O10:O13" si="9">N10+(N10*(H10-1))</f>
        <v>30882.593857500004</v>
      </c>
      <c r="P10" s="132">
        <f t="shared" ref="P10:P13" si="10">O10+(O10*(I10-1))</f>
        <v>32426.723550375005</v>
      </c>
      <c r="R10" s="136"/>
      <c r="S10" s="137"/>
      <c r="T10" s="137"/>
      <c r="U10" s="137"/>
      <c r="V10" s="137"/>
    </row>
    <row r="11" spans="1:22">
      <c r="A11" s="131" t="s">
        <v>57</v>
      </c>
      <c r="B11" s="131">
        <v>6</v>
      </c>
      <c r="C11" s="131" t="s">
        <v>58</v>
      </c>
      <c r="D11" s="133" t="s">
        <v>59</v>
      </c>
      <c r="E11" s="131">
        <v>1</v>
      </c>
      <c r="F11" s="131">
        <v>1.1000000000000001</v>
      </c>
      <c r="G11" s="131">
        <v>1.05</v>
      </c>
      <c r="H11" s="131">
        <v>1.05</v>
      </c>
      <c r="I11" s="131">
        <v>1.05</v>
      </c>
      <c r="J11" s="132">
        <v>25464.93</v>
      </c>
      <c r="K11" s="132">
        <f t="shared" si="6"/>
        <v>25464.93</v>
      </c>
      <c r="L11" s="132"/>
      <c r="M11" s="132">
        <f t="shared" si="7"/>
        <v>28011.423000000003</v>
      </c>
      <c r="N11" s="132">
        <f t="shared" si="8"/>
        <v>29411.994150000002</v>
      </c>
      <c r="O11" s="132">
        <f t="shared" si="9"/>
        <v>30882.593857500004</v>
      </c>
      <c r="P11" s="132">
        <f t="shared" si="10"/>
        <v>32426.723550375005</v>
      </c>
      <c r="R11" s="136"/>
      <c r="S11" s="137"/>
      <c r="T11" s="137"/>
      <c r="U11" s="137"/>
      <c r="V11" s="137"/>
    </row>
    <row r="12" spans="1:22">
      <c r="A12" s="131" t="s">
        <v>57</v>
      </c>
      <c r="B12" s="131">
        <v>7</v>
      </c>
      <c r="C12" s="131" t="s">
        <v>58</v>
      </c>
      <c r="D12" s="133" t="s">
        <v>59</v>
      </c>
      <c r="E12" s="131">
        <v>1</v>
      </c>
      <c r="F12" s="131">
        <v>1.1000000000000001</v>
      </c>
      <c r="G12" s="131">
        <v>1.05</v>
      </c>
      <c r="H12" s="131">
        <v>1.05</v>
      </c>
      <c r="I12" s="131">
        <v>1.05</v>
      </c>
      <c r="J12" s="132">
        <v>25464.93</v>
      </c>
      <c r="K12" s="132">
        <f t="shared" si="6"/>
        <v>25464.93</v>
      </c>
      <c r="L12" s="132"/>
      <c r="M12" s="132">
        <f t="shared" si="7"/>
        <v>28011.423000000003</v>
      </c>
      <c r="N12" s="132">
        <f t="shared" si="8"/>
        <v>29411.994150000002</v>
      </c>
      <c r="O12" s="132">
        <f t="shared" si="9"/>
        <v>30882.593857500004</v>
      </c>
      <c r="P12" s="132">
        <f t="shared" si="10"/>
        <v>32426.723550375005</v>
      </c>
      <c r="R12" s="136"/>
      <c r="S12" s="137"/>
      <c r="T12" s="137"/>
      <c r="U12" s="137"/>
      <c r="V12" s="137"/>
    </row>
    <row r="13" spans="1:22">
      <c r="A13" s="131" t="s">
        <v>57</v>
      </c>
      <c r="B13" s="131">
        <v>8</v>
      </c>
      <c r="C13" s="131" t="s">
        <v>58</v>
      </c>
      <c r="D13" s="133" t="s">
        <v>59</v>
      </c>
      <c r="E13" s="131">
        <v>1</v>
      </c>
      <c r="F13" s="131">
        <v>1.1000000000000001</v>
      </c>
      <c r="G13" s="131">
        <v>1.05</v>
      </c>
      <c r="H13" s="131">
        <v>1.05</v>
      </c>
      <c r="I13" s="131">
        <v>1.05</v>
      </c>
      <c r="J13" s="132">
        <v>25464.93</v>
      </c>
      <c r="K13" s="132">
        <f t="shared" si="6"/>
        <v>25464.93</v>
      </c>
      <c r="L13" s="132"/>
      <c r="M13" s="132">
        <f t="shared" si="7"/>
        <v>28011.423000000003</v>
      </c>
      <c r="N13" s="132">
        <f t="shared" si="8"/>
        <v>29411.994150000002</v>
      </c>
      <c r="O13" s="132">
        <f t="shared" si="9"/>
        <v>30882.593857500004</v>
      </c>
      <c r="P13" s="132">
        <f t="shared" si="10"/>
        <v>32426.723550375005</v>
      </c>
      <c r="R13" s="136"/>
      <c r="S13" s="137"/>
      <c r="T13" s="137"/>
      <c r="U13" s="137"/>
      <c r="V13" s="137"/>
    </row>
    <row r="14" spans="1:22">
      <c r="A14" s="131" t="s">
        <v>60</v>
      </c>
      <c r="B14" s="131">
        <v>9</v>
      </c>
      <c r="C14" s="151"/>
      <c r="D14" s="133"/>
      <c r="E14" s="131">
        <v>0</v>
      </c>
      <c r="F14" s="131">
        <v>0</v>
      </c>
      <c r="G14" s="131">
        <v>0</v>
      </c>
      <c r="H14" s="131">
        <v>0</v>
      </c>
      <c r="I14" s="131">
        <v>0</v>
      </c>
      <c r="J14" s="132">
        <v>0</v>
      </c>
      <c r="K14" s="132">
        <f t="shared" si="6"/>
        <v>0</v>
      </c>
      <c r="L14" s="132"/>
      <c r="M14" s="132">
        <f t="shared" si="1"/>
        <v>0</v>
      </c>
      <c r="N14" s="132">
        <f t="shared" si="2"/>
        <v>0</v>
      </c>
      <c r="O14" s="132">
        <f t="shared" si="3"/>
        <v>0</v>
      </c>
      <c r="P14" s="132">
        <f t="shared" si="4"/>
        <v>0</v>
      </c>
      <c r="R14" s="136"/>
      <c r="S14" s="137"/>
      <c r="T14" s="137"/>
      <c r="U14" s="137"/>
      <c r="V14" s="137"/>
    </row>
    <row r="15" spans="1:22">
      <c r="A15" s="131" t="s">
        <v>60</v>
      </c>
      <c r="B15" s="131">
        <v>10</v>
      </c>
      <c r="C15" s="131"/>
      <c r="D15" s="133"/>
      <c r="E15" s="131">
        <v>0</v>
      </c>
      <c r="F15" s="131">
        <v>0</v>
      </c>
      <c r="G15" s="131">
        <v>0</v>
      </c>
      <c r="H15" s="131">
        <v>0</v>
      </c>
      <c r="I15" s="131">
        <v>0</v>
      </c>
      <c r="J15" s="132">
        <v>0</v>
      </c>
      <c r="K15" s="132">
        <f t="shared" si="6"/>
        <v>0</v>
      </c>
      <c r="L15" s="132"/>
      <c r="M15" s="132">
        <f t="shared" si="1"/>
        <v>0</v>
      </c>
      <c r="N15" s="132">
        <f t="shared" si="2"/>
        <v>0</v>
      </c>
      <c r="O15" s="132">
        <f t="shared" si="3"/>
        <v>0</v>
      </c>
      <c r="P15" s="132">
        <f t="shared" si="4"/>
        <v>0</v>
      </c>
      <c r="R15" s="136"/>
      <c r="S15" s="137"/>
      <c r="T15" s="137"/>
      <c r="U15" s="137"/>
      <c r="V15" s="137"/>
    </row>
    <row r="16" spans="1:22">
      <c r="A16" s="131" t="s">
        <v>60</v>
      </c>
      <c r="B16" s="131">
        <v>11</v>
      </c>
      <c r="C16" s="131"/>
      <c r="D16" s="133"/>
      <c r="E16" s="131">
        <v>0</v>
      </c>
      <c r="F16" s="131">
        <v>0</v>
      </c>
      <c r="G16" s="131">
        <v>0</v>
      </c>
      <c r="H16" s="131">
        <v>0</v>
      </c>
      <c r="I16" s="131">
        <v>0</v>
      </c>
      <c r="J16" s="132">
        <v>0</v>
      </c>
      <c r="K16" s="132">
        <f t="shared" si="6"/>
        <v>0</v>
      </c>
      <c r="L16" s="132"/>
      <c r="M16" s="132">
        <f t="shared" si="1"/>
        <v>0</v>
      </c>
      <c r="N16" s="132">
        <f t="shared" si="2"/>
        <v>0</v>
      </c>
      <c r="O16" s="132">
        <f t="shared" si="3"/>
        <v>0</v>
      </c>
      <c r="P16" s="132">
        <f t="shared" si="4"/>
        <v>0</v>
      </c>
      <c r="R16" s="136"/>
      <c r="S16" s="137"/>
      <c r="T16" s="137"/>
      <c r="U16" s="137"/>
      <c r="V16" s="137"/>
    </row>
    <row r="17" spans="1:22">
      <c r="A17" s="131" t="s">
        <v>60</v>
      </c>
      <c r="B17" s="131">
        <v>12</v>
      </c>
      <c r="C17" s="131"/>
      <c r="D17" s="133"/>
      <c r="E17" s="131">
        <v>0</v>
      </c>
      <c r="F17" s="131">
        <v>0</v>
      </c>
      <c r="G17" s="131">
        <v>0</v>
      </c>
      <c r="H17" s="131">
        <v>0</v>
      </c>
      <c r="I17" s="131">
        <v>0</v>
      </c>
      <c r="J17" s="132">
        <v>0</v>
      </c>
      <c r="K17" s="132">
        <f t="shared" si="6"/>
        <v>0</v>
      </c>
      <c r="L17" s="132"/>
      <c r="M17" s="132">
        <f t="shared" si="1"/>
        <v>0</v>
      </c>
      <c r="N17" s="132">
        <f t="shared" si="2"/>
        <v>0</v>
      </c>
      <c r="O17" s="132">
        <f t="shared" si="3"/>
        <v>0</v>
      </c>
      <c r="P17" s="132">
        <f t="shared" si="4"/>
        <v>0</v>
      </c>
      <c r="R17" s="136"/>
      <c r="S17" s="137"/>
      <c r="T17" s="137"/>
      <c r="U17" s="137"/>
      <c r="V17" s="137"/>
    </row>
    <row r="18" spans="1:22">
      <c r="A18" s="131" t="s">
        <v>60</v>
      </c>
      <c r="B18" s="131">
        <v>13</v>
      </c>
      <c r="C18" s="131"/>
      <c r="D18" s="133"/>
      <c r="E18" s="131">
        <v>0</v>
      </c>
      <c r="F18" s="131">
        <v>0</v>
      </c>
      <c r="G18" s="131">
        <v>0</v>
      </c>
      <c r="H18" s="131">
        <v>0</v>
      </c>
      <c r="I18" s="131">
        <v>0</v>
      </c>
      <c r="J18" s="132">
        <v>0</v>
      </c>
      <c r="K18" s="132">
        <f t="shared" si="6"/>
        <v>0</v>
      </c>
      <c r="L18" s="132"/>
      <c r="M18" s="132">
        <f t="shared" si="1"/>
        <v>0</v>
      </c>
      <c r="N18" s="132">
        <f t="shared" si="2"/>
        <v>0</v>
      </c>
      <c r="O18" s="132">
        <f t="shared" si="3"/>
        <v>0</v>
      </c>
      <c r="P18" s="132">
        <f t="shared" si="4"/>
        <v>0</v>
      </c>
      <c r="R18" s="136"/>
      <c r="S18" s="137"/>
      <c r="T18" s="137"/>
      <c r="U18" s="137"/>
      <c r="V18" s="137"/>
    </row>
    <row r="19" spans="1:22">
      <c r="A19" s="131" t="s">
        <v>60</v>
      </c>
      <c r="B19" s="131">
        <v>14</v>
      </c>
      <c r="C19" s="131"/>
      <c r="D19" s="133"/>
      <c r="E19" s="131">
        <v>0</v>
      </c>
      <c r="F19" s="131">
        <v>0</v>
      </c>
      <c r="G19" s="131">
        <v>0</v>
      </c>
      <c r="H19" s="131">
        <v>0</v>
      </c>
      <c r="I19" s="131">
        <v>0</v>
      </c>
      <c r="J19" s="132">
        <v>0</v>
      </c>
      <c r="K19" s="132">
        <f t="shared" si="6"/>
        <v>0</v>
      </c>
      <c r="L19" s="132"/>
      <c r="M19" s="132">
        <f t="shared" si="1"/>
        <v>0</v>
      </c>
      <c r="N19" s="132">
        <f t="shared" si="2"/>
        <v>0</v>
      </c>
      <c r="O19" s="132">
        <f t="shared" si="3"/>
        <v>0</v>
      </c>
      <c r="P19" s="132">
        <f t="shared" si="4"/>
        <v>0</v>
      </c>
      <c r="R19" s="136"/>
      <c r="S19" s="137"/>
      <c r="T19" s="137"/>
      <c r="U19" s="137"/>
      <c r="V19" s="137"/>
    </row>
    <row r="20" spans="1:22">
      <c r="A20" s="131" t="s">
        <v>60</v>
      </c>
      <c r="B20" s="131">
        <v>15</v>
      </c>
      <c r="C20" s="131"/>
      <c r="D20" s="131"/>
      <c r="E20" s="131">
        <v>0</v>
      </c>
      <c r="F20" s="131">
        <v>0</v>
      </c>
      <c r="G20" s="131">
        <v>0</v>
      </c>
      <c r="H20" s="131">
        <v>0</v>
      </c>
      <c r="I20" s="131">
        <v>0</v>
      </c>
      <c r="J20" s="132">
        <v>0</v>
      </c>
      <c r="K20" s="132">
        <f t="shared" si="6"/>
        <v>0</v>
      </c>
      <c r="L20" s="132"/>
      <c r="M20" s="132">
        <f t="shared" si="1"/>
        <v>0</v>
      </c>
      <c r="N20" s="132">
        <f t="shared" ref="N20" si="11">M20+(M20*(G20-1))</f>
        <v>0</v>
      </c>
      <c r="O20" s="132">
        <f t="shared" ref="O20" si="12">N20+(N20*(H20-1))</f>
        <v>0</v>
      </c>
      <c r="P20" s="132">
        <f t="shared" ref="P20" si="13">O20+(O20*(I20-1))</f>
        <v>0</v>
      </c>
      <c r="R20" s="136"/>
      <c r="S20" s="137"/>
      <c r="T20" s="137"/>
      <c r="U20" s="137"/>
      <c r="V20" s="137"/>
    </row>
    <row r="21" spans="1:22">
      <c r="A21" s="131" t="s">
        <v>60</v>
      </c>
      <c r="B21" s="131">
        <v>16</v>
      </c>
      <c r="C21" s="131"/>
      <c r="D21" s="131"/>
      <c r="E21" s="131">
        <v>0</v>
      </c>
      <c r="F21" s="131">
        <v>0</v>
      </c>
      <c r="G21" s="131">
        <v>0</v>
      </c>
      <c r="H21" s="131">
        <v>0</v>
      </c>
      <c r="I21" s="131">
        <v>0</v>
      </c>
      <c r="J21" s="132">
        <v>0</v>
      </c>
      <c r="K21" s="132">
        <f t="shared" ref="K21:K22" si="14">$J21*E21</f>
        <v>0</v>
      </c>
      <c r="L21" s="132"/>
      <c r="M21" s="132">
        <f t="shared" ref="M21:M22" si="15">K21+(K21*(F21-1))</f>
        <v>0</v>
      </c>
      <c r="N21" s="132">
        <f t="shared" ref="N21:N22" si="16">M21+(M21*(G21-1))</f>
        <v>0</v>
      </c>
      <c r="O21" s="132">
        <f t="shared" ref="O21:O22" si="17">N21+(N21*(H21-1))</f>
        <v>0</v>
      </c>
      <c r="P21" s="132">
        <f t="shared" ref="P21:P22" si="18">O21+(O21*(I21-1))</f>
        <v>0</v>
      </c>
      <c r="R21" s="136"/>
      <c r="S21" s="138"/>
      <c r="T21" s="138"/>
      <c r="U21" s="138"/>
      <c r="V21" s="138"/>
    </row>
    <row r="22" spans="1:22">
      <c r="A22" s="131" t="s">
        <v>60</v>
      </c>
      <c r="B22" s="131">
        <v>17</v>
      </c>
      <c r="C22" s="131"/>
      <c r="D22" s="131"/>
      <c r="E22" s="131">
        <v>0</v>
      </c>
      <c r="F22" s="131">
        <v>0</v>
      </c>
      <c r="G22" s="131">
        <v>0</v>
      </c>
      <c r="H22" s="131">
        <v>0</v>
      </c>
      <c r="I22" s="131">
        <v>0</v>
      </c>
      <c r="J22" s="132">
        <v>0</v>
      </c>
      <c r="K22" s="132">
        <f t="shared" si="14"/>
        <v>0</v>
      </c>
      <c r="L22" s="132"/>
      <c r="M22" s="132">
        <f t="shared" si="15"/>
        <v>0</v>
      </c>
      <c r="N22" s="132">
        <f t="shared" si="16"/>
        <v>0</v>
      </c>
      <c r="O22" s="132">
        <f t="shared" si="17"/>
        <v>0</v>
      </c>
      <c r="P22" s="132">
        <f t="shared" si="18"/>
        <v>0</v>
      </c>
    </row>
    <row r="23" spans="1:22">
      <c r="A23" s="134" t="s">
        <v>61</v>
      </c>
      <c r="B23" s="134"/>
      <c r="C23" s="140" t="s">
        <v>26</v>
      </c>
      <c r="D23" s="140" t="s">
        <v>26</v>
      </c>
      <c r="E23" s="161">
        <f>SUM(E6:E21)</f>
        <v>6</v>
      </c>
      <c r="F23" s="161">
        <f>SUM(F6:F21)</f>
        <v>8.7999999999999989</v>
      </c>
      <c r="G23" s="161">
        <f>SUM(G6:G21)</f>
        <v>8.4</v>
      </c>
      <c r="H23" s="161">
        <f>SUM(H6:H21)</f>
        <v>8.4</v>
      </c>
      <c r="I23" s="161">
        <f>SUM(I6:I21)</f>
        <v>8.4</v>
      </c>
      <c r="J23" s="135">
        <f t="shared" ref="J23:P23" si="19">SUM(J6:J22)</f>
        <v>222789.57999999996</v>
      </c>
      <c r="K23" s="135">
        <f t="shared" si="19"/>
        <v>162324.65</v>
      </c>
      <c r="L23" s="135">
        <f t="shared" si="19"/>
        <v>0</v>
      </c>
      <c r="M23" s="135">
        <f t="shared" si="19"/>
        <v>178557.11500000005</v>
      </c>
      <c r="N23" s="135">
        <f t="shared" si="19"/>
        <v>187484.97075000001</v>
      </c>
      <c r="O23" s="135">
        <f t="shared" si="19"/>
        <v>196859.21928750002</v>
      </c>
      <c r="P23" s="135">
        <f t="shared" si="19"/>
        <v>206702.18025187499</v>
      </c>
    </row>
    <row r="24" spans="1:22">
      <c r="J24" s="102"/>
      <c r="K24" s="102"/>
      <c r="L24" s="102"/>
      <c r="M24" s="102"/>
      <c r="N24" s="102"/>
      <c r="O24" s="102"/>
      <c r="P24" s="102"/>
    </row>
    <row r="25" spans="1:22">
      <c r="A25" s="134" t="s">
        <v>55</v>
      </c>
      <c r="B25" s="134"/>
      <c r="C25" s="140" t="s">
        <v>26</v>
      </c>
      <c r="D25" s="140" t="s">
        <v>26</v>
      </c>
      <c r="E25" s="140">
        <f>COUNTIFS($C$6:$C$21,"Senior",E6:E21,"&gt;0")</f>
        <v>1</v>
      </c>
      <c r="F25" s="140">
        <f>COUNTIFS($C$6:$C$21,"Senior",F6:F21,"&gt;0")</f>
        <v>2</v>
      </c>
      <c r="G25" s="140">
        <f>COUNTIFS($C$6:$C$21,"Senior",G6:G21,"&gt;0")</f>
        <v>2</v>
      </c>
      <c r="H25" s="140">
        <f>COUNTIFS($C$6:$C$21,"Senior",H6:H21,"&gt;0")</f>
        <v>2</v>
      </c>
      <c r="I25" s="140">
        <f>COUNTIFS($C$6:$C$21,"Senior",I6:I21,"&gt;0")</f>
        <v>2</v>
      </c>
      <c r="J25" s="140" t="s">
        <v>26</v>
      </c>
      <c r="K25" s="140" t="s">
        <v>26</v>
      </c>
      <c r="L25" s="140" t="s">
        <v>26</v>
      </c>
      <c r="M25" s="140" t="s">
        <v>26</v>
      </c>
      <c r="N25" s="140" t="s">
        <v>26</v>
      </c>
      <c r="O25" s="140" t="s">
        <v>26</v>
      </c>
      <c r="P25" s="140" t="s">
        <v>26</v>
      </c>
    </row>
    <row r="26" spans="1:22">
      <c r="A26" s="134" t="s">
        <v>58</v>
      </c>
      <c r="B26" s="134"/>
      <c r="C26" s="140" t="s">
        <v>26</v>
      </c>
      <c r="D26" s="140" t="s">
        <v>26</v>
      </c>
      <c r="E26" s="140">
        <f>COUNTIFS($C$6:$C$21,"Junior",E6:E21,"&gt;0")</f>
        <v>5</v>
      </c>
      <c r="F26" s="140">
        <f>COUNTIFS($C$6:$C$21,"Junior",F6:F21,"&gt;0")</f>
        <v>6</v>
      </c>
      <c r="G26" s="140">
        <f>COUNTIFS($C$6:$C$21,"Junior",G6:G21,"&gt;0")</f>
        <v>6</v>
      </c>
      <c r="H26" s="140">
        <f>COUNTIFS($C$6:$C$21,"Junior",H6:H21,"&gt;0")</f>
        <v>6</v>
      </c>
      <c r="I26" s="140">
        <f>COUNTIFS($C$6:$C$21,"Junior",I6:I21,"&gt;0")</f>
        <v>6</v>
      </c>
      <c r="J26" s="140" t="s">
        <v>26</v>
      </c>
      <c r="K26" s="140" t="s">
        <v>26</v>
      </c>
      <c r="L26" s="140" t="s">
        <v>26</v>
      </c>
      <c r="M26" s="140" t="s">
        <v>26</v>
      </c>
      <c r="N26" s="140" t="s">
        <v>26</v>
      </c>
      <c r="O26" s="140" t="s">
        <v>26</v>
      </c>
      <c r="P26" s="140" t="s">
        <v>26</v>
      </c>
    </row>
    <row r="28" spans="1:22">
      <c r="A28" s="173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</row>
    <row r="29" spans="1:22">
      <c r="A29" s="173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</row>
    <row r="30" spans="1:22">
      <c r="A30" s="173"/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</row>
    <row r="31" spans="1:22">
      <c r="A31" s="173"/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</row>
    <row r="32" spans="1:22">
      <c r="A32" s="173"/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</row>
    <row r="33" spans="1:16">
      <c r="A33" s="173"/>
      <c r="B33" s="173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</row>
    <row r="34" spans="1:16">
      <c r="A34" s="173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</row>
    <row r="35" spans="1:16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</row>
    <row r="36" spans="1:16">
      <c r="A36" s="173"/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</row>
    <row r="37" spans="1:16">
      <c r="A37" s="173"/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</row>
    <row r="38" spans="1:16">
      <c r="A38" s="173"/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</row>
    <row r="39" spans="1:16">
      <c r="A39" s="173"/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</row>
    <row r="40" spans="1:16">
      <c r="A40" s="173"/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</row>
    <row r="41" spans="1:16">
      <c r="A41" s="173"/>
      <c r="B41" s="173"/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</row>
    <row r="42" spans="1:16">
      <c r="A42" s="173"/>
      <c r="B42" s="173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</row>
    <row r="43" spans="1:16">
      <c r="A43" s="173"/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</row>
    <row r="44" spans="1:16">
      <c r="A44" s="173"/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</row>
    <row r="45" spans="1:16">
      <c r="A45" s="173"/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</row>
    <row r="46" spans="1:16">
      <c r="A46" s="173"/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</row>
  </sheetData>
  <mergeCells count="3">
    <mergeCell ref="A1:P1"/>
    <mergeCell ref="A2:P2"/>
    <mergeCell ref="A3:P3"/>
  </mergeCells>
  <printOptions horizontalCentered="1"/>
  <pageMargins left="0.39370078740157483" right="0.39370078740157483" top="0.39370078740157483" bottom="0.39370078740157483" header="0" footer="0"/>
  <pageSetup paperSize="9" scale="89" fitToHeight="2" orientation="landscape" horizontalDpi="4294967292" r:id="rId1"/>
  <ignoredErrors>
    <ignoredError sqref="E23:I2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43"/>
  <sheetViews>
    <sheetView topLeftCell="A2" zoomScaleNormal="100" workbookViewId="0">
      <selection sqref="A1:F1"/>
    </sheetView>
  </sheetViews>
  <sheetFormatPr defaultColWidth="9" defaultRowHeight="16.5" customHeight="1"/>
  <cols>
    <col min="1" max="1" width="69.5703125" style="3" bestFit="1" customWidth="1"/>
    <col min="2" max="6" width="27.7109375" style="2" customWidth="1"/>
    <col min="7" max="7" width="9" style="3"/>
    <col min="8" max="8" width="12.7109375" style="3" bestFit="1" customWidth="1"/>
    <col min="9" max="9" width="9" style="3"/>
    <col min="10" max="10" width="11.42578125" style="3" bestFit="1" customWidth="1"/>
    <col min="11" max="11" width="9" style="3"/>
    <col min="12" max="12" width="10.140625" style="3" bestFit="1" customWidth="1"/>
    <col min="13" max="16384" width="9" style="3"/>
  </cols>
  <sheetData>
    <row r="1" spans="1:13" ht="30" customHeight="1">
      <c r="A1" s="554" t="str">
        <f>Menù!D3</f>
        <v>Trovato 1929</v>
      </c>
      <c r="B1" s="550"/>
      <c r="C1" s="550"/>
      <c r="D1" s="550"/>
      <c r="E1" s="550"/>
      <c r="F1" s="550"/>
    </row>
    <row r="2" spans="1:13" ht="43.5" customHeight="1">
      <c r="A2" s="555" t="str">
        <f>Menù!A2</f>
        <v>Budget e Business Plan</v>
      </c>
      <c r="B2" s="555"/>
      <c r="C2" s="555"/>
      <c r="D2" s="555"/>
      <c r="E2" s="555"/>
      <c r="F2" s="555"/>
    </row>
    <row r="3" spans="1:13" ht="15" customHeight="1">
      <c r="A3" s="556" t="s">
        <v>62</v>
      </c>
      <c r="B3" s="556"/>
      <c r="C3" s="556"/>
      <c r="D3" s="556"/>
      <c r="E3" s="556"/>
      <c r="F3" s="556"/>
    </row>
    <row r="4" spans="1:13" ht="10.5" customHeight="1">
      <c r="A4" s="534"/>
      <c r="B4" s="534"/>
      <c r="C4" s="534"/>
      <c r="D4" s="534"/>
      <c r="E4" s="534"/>
      <c r="F4" s="534"/>
    </row>
    <row r="5" spans="1:13" ht="16.5" customHeight="1">
      <c r="A5" s="281" t="s">
        <v>63</v>
      </c>
      <c r="B5" s="206">
        <f>Menù!K3</f>
        <v>2025</v>
      </c>
      <c r="C5" s="206">
        <f>B5+1</f>
        <v>2026</v>
      </c>
      <c r="D5" s="206">
        <f>C5+1</f>
        <v>2027</v>
      </c>
      <c r="E5" s="206">
        <f>D5+1</f>
        <v>2028</v>
      </c>
      <c r="F5" s="206">
        <f>E5+1</f>
        <v>2029</v>
      </c>
    </row>
    <row r="6" spans="1:13" ht="16.5" customHeight="1">
      <c r="B6" s="282"/>
    </row>
    <row r="7" spans="1:13" ht="16.5" customHeight="1" thickBot="1">
      <c r="A7" s="283" t="s">
        <v>64</v>
      </c>
      <c r="B7" s="284">
        <v>1</v>
      </c>
      <c r="C7" s="284">
        <v>2</v>
      </c>
      <c r="D7" s="284">
        <v>3</v>
      </c>
      <c r="E7" s="284">
        <v>4</v>
      </c>
      <c r="F7" s="284">
        <v>5</v>
      </c>
    </row>
    <row r="8" spans="1:13" ht="16.5" customHeight="1" thickTop="1">
      <c r="A8" s="3" t="s">
        <v>65</v>
      </c>
      <c r="B8" s="285">
        <f>'Controll Panel'!B16*5*'Controll Panel'!B18</f>
        <v>30940</v>
      </c>
      <c r="C8" s="285">
        <f>'Controll Panel'!C16*5*'Controll Panel'!C18</f>
        <v>32760</v>
      </c>
      <c r="D8" s="285">
        <f>'Controll Panel'!D16*5*'Controll Panel'!D18</f>
        <v>34580</v>
      </c>
      <c r="E8" s="285">
        <f>'Controll Panel'!E16*5*'Controll Panel'!E18</f>
        <v>36400</v>
      </c>
      <c r="F8" s="285">
        <f>'Controll Panel'!F16*5*'Controll Panel'!F18</f>
        <v>38220</v>
      </c>
    </row>
    <row r="9" spans="1:13" ht="16.5" customHeight="1">
      <c r="A9" s="3" t="s">
        <v>66</v>
      </c>
      <c r="B9" s="42">
        <f>'Controll Panel'!B22/(1+'Controll Panel'!B26)</f>
        <v>11.818181818181817</v>
      </c>
      <c r="C9" s="42">
        <f>'Controll Panel'!C22/(1+'Controll Panel'!C26)</f>
        <v>12.054545454545453</v>
      </c>
      <c r="D9" s="42">
        <f>'Controll Panel'!D22/(1+'Controll Panel'!D26)</f>
        <v>12.295636363636362</v>
      </c>
      <c r="E9" s="42">
        <f>'Controll Panel'!E22/(1+'Controll Panel'!E26)</f>
        <v>12.54154909090909</v>
      </c>
      <c r="F9" s="42">
        <f>'Controll Panel'!F22/(1+'Controll Panel'!F26)</f>
        <v>12.792380072727273</v>
      </c>
    </row>
    <row r="10" spans="1:13" ht="16.5" customHeight="1">
      <c r="A10" s="3" t="s">
        <v>67</v>
      </c>
      <c r="B10" s="42">
        <f>B8*B9</f>
        <v>365654.54545454541</v>
      </c>
      <c r="C10" s="42">
        <f t="shared" ref="C10:F10" si="0">C8*C9</f>
        <v>394906.90909090906</v>
      </c>
      <c r="D10" s="42">
        <f t="shared" si="0"/>
        <v>425183.10545454541</v>
      </c>
      <c r="E10" s="42">
        <f t="shared" si="0"/>
        <v>456512.38690909086</v>
      </c>
      <c r="F10" s="42">
        <f t="shared" si="0"/>
        <v>488924.76637963636</v>
      </c>
      <c r="J10" s="286"/>
      <c r="K10" s="286"/>
      <c r="L10" s="286"/>
      <c r="M10" s="286"/>
    </row>
    <row r="11" spans="1:13" ht="16.5" customHeight="1">
      <c r="A11" s="287" t="s">
        <v>68</v>
      </c>
      <c r="B11" s="288" t="s">
        <v>26</v>
      </c>
      <c r="C11" s="289">
        <f>C10-B10</f>
        <v>29252.363636363647</v>
      </c>
      <c r="D11" s="289">
        <f>D10-C10</f>
        <v>30276.196363636351</v>
      </c>
      <c r="E11" s="289">
        <f>E10-D10</f>
        <v>31329.281454545446</v>
      </c>
      <c r="F11" s="289">
        <f>F10-E10</f>
        <v>32412.379470545508</v>
      </c>
      <c r="I11" s="4"/>
      <c r="J11" s="4"/>
      <c r="K11" s="4"/>
      <c r="L11" s="4"/>
      <c r="M11" s="4"/>
    </row>
    <row r="12" spans="1:13" ht="16.5" customHeight="1" thickBot="1">
      <c r="A12" s="62" t="s">
        <v>69</v>
      </c>
      <c r="B12" s="290" t="s">
        <v>26</v>
      </c>
      <c r="C12" s="291">
        <f>IFERROR((C10/B10)-100%,0)</f>
        <v>8.0000000000000071E-2</v>
      </c>
      <c r="D12" s="291">
        <f>(D10/C10)-100%</f>
        <v>7.6666666666666661E-2</v>
      </c>
      <c r="E12" s="291">
        <f>(E10/D10)-100%</f>
        <v>7.3684210526315796E-2</v>
      </c>
      <c r="F12" s="291">
        <f>(F10/E10)-100%</f>
        <v>7.1000000000000174E-2</v>
      </c>
    </row>
    <row r="13" spans="1:13" ht="16.5" customHeight="1" thickTop="1"/>
    <row r="14" spans="1:13" ht="16.5" customHeight="1" thickBot="1">
      <c r="A14" s="283" t="s">
        <v>70</v>
      </c>
      <c r="B14" s="284">
        <v>1</v>
      </c>
      <c r="C14" s="284">
        <v>2</v>
      </c>
      <c r="D14" s="284">
        <v>3</v>
      </c>
      <c r="E14" s="284">
        <v>4</v>
      </c>
      <c r="F14" s="284">
        <v>5</v>
      </c>
    </row>
    <row r="15" spans="1:13" ht="16.5" customHeight="1" thickTop="1">
      <c r="A15" s="3" t="s">
        <v>65</v>
      </c>
      <c r="B15" s="285">
        <f>'Controll Panel'!B19*'Controll Panel'!B16*3</f>
        <v>21840</v>
      </c>
      <c r="C15" s="285">
        <f>'Controll Panel'!C19*'Controll Panel'!C16*3</f>
        <v>22932</v>
      </c>
      <c r="D15" s="285">
        <f>'Controll Panel'!D19*'Controll Panel'!D16*3</f>
        <v>24024</v>
      </c>
      <c r="E15" s="285">
        <f>'Controll Panel'!E19*'Controll Panel'!E16*3</f>
        <v>25116</v>
      </c>
      <c r="F15" s="285">
        <f>'Controll Panel'!F19*'Controll Panel'!F16*3</f>
        <v>26208</v>
      </c>
    </row>
    <row r="16" spans="1:13" ht="16.5" customHeight="1">
      <c r="A16" s="3" t="s">
        <v>66</v>
      </c>
      <c r="B16" s="42">
        <f>'Controll Panel'!B23/(1+'Controll Panel'!B26)</f>
        <v>11.818181818181817</v>
      </c>
      <c r="C16" s="42">
        <f>'Controll Panel'!C23/(1+'Controll Panel'!C26)</f>
        <v>12.054545454545453</v>
      </c>
      <c r="D16" s="42">
        <f>'Controll Panel'!D23/(1+'Controll Panel'!D26)</f>
        <v>12.295636363636362</v>
      </c>
      <c r="E16" s="42">
        <f>'Controll Panel'!E23/(1+'Controll Panel'!E26)</f>
        <v>12.54154909090909</v>
      </c>
      <c r="F16" s="42">
        <f>'Controll Panel'!F23/(1+'Controll Panel'!F26)</f>
        <v>12.792380072727273</v>
      </c>
    </row>
    <row r="17" spans="1:8" ht="16.5" customHeight="1">
      <c r="A17" s="3" t="s">
        <v>67</v>
      </c>
      <c r="B17" s="42">
        <f>B16*B15</f>
        <v>258109.09090909088</v>
      </c>
      <c r="C17" s="42">
        <f t="shared" ref="C17:F17" si="1">C16*C15</f>
        <v>276434.83636363631</v>
      </c>
      <c r="D17" s="42">
        <f t="shared" si="1"/>
        <v>295390.36799999996</v>
      </c>
      <c r="E17" s="42">
        <f t="shared" si="1"/>
        <v>314993.5469672727</v>
      </c>
      <c r="F17" s="42">
        <f t="shared" si="1"/>
        <v>335262.69694603636</v>
      </c>
    </row>
    <row r="18" spans="1:8" ht="16.5" customHeight="1">
      <c r="A18" s="287" t="s">
        <v>68</v>
      </c>
      <c r="B18" s="288" t="s">
        <v>26</v>
      </c>
      <c r="C18" s="289">
        <f>C17-B17</f>
        <v>18325.745454545424</v>
      </c>
      <c r="D18" s="289">
        <f>D17-C17</f>
        <v>18955.531636363652</v>
      </c>
      <c r="E18" s="289">
        <f>E17-D17</f>
        <v>19603.178967272746</v>
      </c>
      <c r="F18" s="289">
        <f>F17-E17</f>
        <v>20269.149978763657</v>
      </c>
    </row>
    <row r="19" spans="1:8" ht="16.5" customHeight="1" thickBot="1">
      <c r="A19" s="62" t="s">
        <v>69</v>
      </c>
      <c r="B19" s="290" t="s">
        <v>26</v>
      </c>
      <c r="C19" s="291">
        <f>IFERROR((C17/B17)-100%,0)</f>
        <v>7.0999999999999952E-2</v>
      </c>
      <c r="D19" s="291">
        <f>IFERROR((D17/C17)-100%,0)</f>
        <v>6.8571428571428727E-2</v>
      </c>
      <c r="E19" s="291">
        <f>IFERROR((E17/D17)-100%,0)</f>
        <v>6.6363636363636402E-2</v>
      </c>
      <c r="F19" s="291">
        <f>IFERROR((F17/E17)-100%,0)</f>
        <v>6.434782608695655E-2</v>
      </c>
    </row>
    <row r="20" spans="1:8" ht="16.5" customHeight="1" thickTop="1"/>
    <row r="21" spans="1:8" ht="16.5" customHeight="1" thickBot="1">
      <c r="A21" s="283" t="s">
        <v>71</v>
      </c>
      <c r="B21" s="284">
        <v>1</v>
      </c>
      <c r="C21" s="284">
        <v>2</v>
      </c>
      <c r="D21" s="284">
        <v>3</v>
      </c>
      <c r="E21" s="284">
        <v>4</v>
      </c>
      <c r="F21" s="284">
        <v>5</v>
      </c>
    </row>
    <row r="22" spans="1:8" ht="16.5" customHeight="1" thickTop="1">
      <c r="A22" s="3" t="s">
        <v>65</v>
      </c>
      <c r="B22" s="285">
        <f>'Controll Panel'!B16*'Controll Panel'!B20*4</f>
        <v>29120</v>
      </c>
      <c r="C22" s="285">
        <f>'Controll Panel'!C16*'Controll Panel'!C20*4</f>
        <v>30576</v>
      </c>
      <c r="D22" s="285">
        <f>'Controll Panel'!D16*'Controll Panel'!D20*4</f>
        <v>32032</v>
      </c>
      <c r="E22" s="285">
        <f>'Controll Panel'!E16*'Controll Panel'!E20*4</f>
        <v>33488</v>
      </c>
      <c r="F22" s="285">
        <f>'Controll Panel'!F16*'Controll Panel'!F20*4</f>
        <v>34944</v>
      </c>
      <c r="H22" s="4"/>
    </row>
    <row r="23" spans="1:8" ht="16.5" customHeight="1">
      <c r="A23" s="3" t="s">
        <v>66</v>
      </c>
      <c r="B23" s="42">
        <f>'Controll Panel'!B24/(1+'Controll Panel'!B26)</f>
        <v>3.1818181818181817</v>
      </c>
      <c r="C23" s="42">
        <f>'Controll Panel'!C24/(1+'Controll Panel'!C26)</f>
        <v>3.2454545454545456</v>
      </c>
      <c r="D23" s="42">
        <f>'Controll Panel'!D24/(1+'Controll Panel'!D26)</f>
        <v>3.3103636363636366</v>
      </c>
      <c r="E23" s="42">
        <f>'Controll Panel'!E24/(1+'Controll Panel'!E26)</f>
        <v>3.3765709090909093</v>
      </c>
      <c r="F23" s="42">
        <f>'Controll Panel'!F24/(1+'Controll Panel'!F26)</f>
        <v>3.4441023272727276</v>
      </c>
      <c r="H23" s="4"/>
    </row>
    <row r="24" spans="1:8" ht="16.5" customHeight="1">
      <c r="A24" s="3" t="s">
        <v>67</v>
      </c>
      <c r="B24" s="42">
        <f>B23*B22</f>
        <v>92654.545454545456</v>
      </c>
      <c r="C24" s="42">
        <f t="shared" ref="C24:F24" si="2">C23*C22</f>
        <v>99233.018181818188</v>
      </c>
      <c r="D24" s="42">
        <f t="shared" si="2"/>
        <v>106037.56800000001</v>
      </c>
      <c r="E24" s="42">
        <f t="shared" si="2"/>
        <v>113074.60660363638</v>
      </c>
      <c r="F24" s="42">
        <f t="shared" si="2"/>
        <v>120350.7117242182</v>
      </c>
    </row>
    <row r="25" spans="1:8" ht="16.5" customHeight="1">
      <c r="A25" s="287" t="s">
        <v>68</v>
      </c>
      <c r="B25" s="288" t="s">
        <v>26</v>
      </c>
      <c r="C25" s="289">
        <f>C24-B24</f>
        <v>6578.4727272727323</v>
      </c>
      <c r="D25" s="289">
        <f>D24-C24</f>
        <v>6804.5498181818257</v>
      </c>
      <c r="E25" s="289">
        <f>E24-D24</f>
        <v>7037.0386036363634</v>
      </c>
      <c r="F25" s="289">
        <f>F24-E24</f>
        <v>7276.1051205818221</v>
      </c>
    </row>
    <row r="26" spans="1:8" ht="16.5" customHeight="1" thickBot="1">
      <c r="A26" s="62" t="s">
        <v>69</v>
      </c>
      <c r="B26" s="290" t="s">
        <v>26</v>
      </c>
      <c r="C26" s="291">
        <f>IFERROR((C24/B24)-100%,0)</f>
        <v>7.0999999999999952E-2</v>
      </c>
      <c r="D26" s="291">
        <f>IFERROR((D24/C24)-100%,0)</f>
        <v>6.8571428571428727E-2</v>
      </c>
      <c r="E26" s="291">
        <f>IFERROR((E24/D24)-100%,0)</f>
        <v>6.6363636363636402E-2</v>
      </c>
      <c r="F26" s="291">
        <f>IFERROR((F24/E24)-100%,0)</f>
        <v>6.434782608695655E-2</v>
      </c>
    </row>
    <row r="27" spans="1:8" ht="16.5" customHeight="1" thickTop="1"/>
    <row r="28" spans="1:8" ht="16.5" customHeight="1" thickBot="1">
      <c r="A28" s="283" t="s">
        <v>72</v>
      </c>
      <c r="B28" s="284">
        <v>1</v>
      </c>
      <c r="C28" s="284">
        <v>2</v>
      </c>
      <c r="D28" s="284">
        <v>3</v>
      </c>
      <c r="E28" s="284">
        <v>4</v>
      </c>
      <c r="F28" s="284">
        <v>5</v>
      </c>
    </row>
    <row r="29" spans="1:8" ht="16.5" customHeight="1" thickTop="1">
      <c r="A29" s="3" t="s">
        <v>65</v>
      </c>
      <c r="B29" s="285">
        <f>'Controll Panel'!B16*'Controll Panel'!B21*4</f>
        <v>10192</v>
      </c>
      <c r="C29" s="285">
        <f>'Controll Panel'!C16*'Controll Panel'!C21*4</f>
        <v>10192</v>
      </c>
      <c r="D29" s="285">
        <f>'Controll Panel'!D16*'Controll Panel'!D21*4</f>
        <v>10192</v>
      </c>
      <c r="E29" s="285">
        <f>'Controll Panel'!E16*'Controll Panel'!E21*4</f>
        <v>10192</v>
      </c>
      <c r="F29" s="285">
        <f>'Controll Panel'!F16*'Controll Panel'!F21*4</f>
        <v>10192</v>
      </c>
      <c r="H29" s="4"/>
    </row>
    <row r="30" spans="1:8" ht="16.5" customHeight="1">
      <c r="A30" s="3" t="s">
        <v>66</v>
      </c>
      <c r="B30" s="42">
        <f>'Controll Panel'!B25/(1+'Controll Panel'!B26)</f>
        <v>3.6363636363636362</v>
      </c>
      <c r="C30" s="42">
        <f>'Controll Panel'!C25/(1+'Controll Panel'!C26)</f>
        <v>3.709090909090909</v>
      </c>
      <c r="D30" s="42">
        <f>'Controll Panel'!D25/(1+'Controll Panel'!D26)</f>
        <v>3.7832727272727271</v>
      </c>
      <c r="E30" s="42">
        <f>'Controll Panel'!E25/(1+'Controll Panel'!E26)</f>
        <v>3.8589381818181812</v>
      </c>
      <c r="F30" s="42">
        <f>'Controll Panel'!F25/(1+'Controll Panel'!F26)</f>
        <v>3.936116945454545</v>
      </c>
      <c r="H30" s="4"/>
    </row>
    <row r="31" spans="1:8" ht="16.5" customHeight="1">
      <c r="A31" s="3" t="s">
        <v>67</v>
      </c>
      <c r="B31" s="42">
        <f>B30*B29</f>
        <v>37061.818181818184</v>
      </c>
      <c r="C31" s="42">
        <f t="shared" ref="C31:F31" si="3">C30*C29</f>
        <v>37803.054545454543</v>
      </c>
      <c r="D31" s="42">
        <f t="shared" si="3"/>
        <v>38559.115636363633</v>
      </c>
      <c r="E31" s="42">
        <f t="shared" si="3"/>
        <v>39330.297949090906</v>
      </c>
      <c r="F31" s="42">
        <f t="shared" si="3"/>
        <v>40116.903908072723</v>
      </c>
      <c r="H31" s="4"/>
    </row>
    <row r="32" spans="1:8" ht="16.5" customHeight="1">
      <c r="A32" s="287" t="s">
        <v>68</v>
      </c>
      <c r="B32" s="288" t="s">
        <v>26</v>
      </c>
      <c r="C32" s="289">
        <f>C31-B31</f>
        <v>741.23636363635887</v>
      </c>
      <c r="D32" s="289">
        <f>D31-C31</f>
        <v>756.06109090909013</v>
      </c>
      <c r="E32" s="289">
        <f>E31-D31</f>
        <v>771.1823127272728</v>
      </c>
      <c r="F32" s="289">
        <f>F31-E31</f>
        <v>786.60595898181782</v>
      </c>
      <c r="H32" s="4"/>
    </row>
    <row r="33" spans="1:8" ht="16.5" customHeight="1" thickBot="1">
      <c r="A33" s="62" t="s">
        <v>69</v>
      </c>
      <c r="B33" s="290" t="s">
        <v>26</v>
      </c>
      <c r="C33" s="291">
        <f>IFERROR((C31/B31)-100%,0)</f>
        <v>1.9999999999999796E-2</v>
      </c>
      <c r="D33" s="291">
        <f t="shared" ref="D33:F33" si="4">IFERROR((D31/C31)-100%,0)</f>
        <v>2.0000000000000018E-2</v>
      </c>
      <c r="E33" s="291">
        <f>IFERROR((E31/D31)-100%,0)</f>
        <v>2.0000000000000018E-2</v>
      </c>
      <c r="F33" s="291">
        <f t="shared" si="4"/>
        <v>2.0000000000000018E-2</v>
      </c>
    </row>
    <row r="34" spans="1:8" ht="18" customHeight="1" thickTop="1"/>
    <row r="35" spans="1:8" ht="16.5" hidden="1" customHeight="1" thickBot="1">
      <c r="A35" s="283" t="s">
        <v>26</v>
      </c>
      <c r="B35" s="284">
        <v>1</v>
      </c>
      <c r="C35" s="284">
        <v>2</v>
      </c>
      <c r="D35" s="284">
        <v>3</v>
      </c>
      <c r="E35" s="284">
        <v>4</v>
      </c>
      <c r="F35" s="284">
        <v>5</v>
      </c>
    </row>
    <row r="36" spans="1:8" ht="16.5" hidden="1" customHeight="1" thickTop="1">
      <c r="A36" s="3" t="s">
        <v>73</v>
      </c>
      <c r="B36" s="285">
        <v>0</v>
      </c>
      <c r="C36" s="285">
        <v>0</v>
      </c>
      <c r="D36" s="285">
        <v>0</v>
      </c>
      <c r="E36" s="285">
        <v>0</v>
      </c>
      <c r="F36" s="285">
        <v>0</v>
      </c>
    </row>
    <row r="37" spans="1:8" ht="16.5" hidden="1" customHeight="1">
      <c r="A37" s="3" t="s">
        <v>74</v>
      </c>
      <c r="B37" s="42">
        <f>'Controll Panel'!B36/(1+'Controll Panel'!B38)</f>
        <v>0</v>
      </c>
      <c r="C37" s="42">
        <v>0</v>
      </c>
      <c r="D37" s="42">
        <v>0</v>
      </c>
      <c r="E37" s="42">
        <v>0</v>
      </c>
      <c r="F37" s="42">
        <v>0</v>
      </c>
    </row>
    <row r="38" spans="1:8" ht="16.5" hidden="1" customHeight="1">
      <c r="A38" s="3" t="s">
        <v>75</v>
      </c>
      <c r="B38" s="42">
        <f>B37*B36</f>
        <v>0</v>
      </c>
      <c r="C38" s="42">
        <f t="shared" ref="C38:F38" si="5">C37*C36</f>
        <v>0</v>
      </c>
      <c r="D38" s="42">
        <f t="shared" si="5"/>
        <v>0</v>
      </c>
      <c r="E38" s="42">
        <f t="shared" si="5"/>
        <v>0</v>
      </c>
      <c r="F38" s="42">
        <f t="shared" si="5"/>
        <v>0</v>
      </c>
    </row>
    <row r="39" spans="1:8" ht="16.5" hidden="1" customHeight="1">
      <c r="A39" s="287" t="s">
        <v>68</v>
      </c>
      <c r="B39" s="288" t="s">
        <v>26</v>
      </c>
      <c r="C39" s="289">
        <f>C38-B38</f>
        <v>0</v>
      </c>
      <c r="D39" s="289">
        <f>D38-C38</f>
        <v>0</v>
      </c>
      <c r="E39" s="289">
        <f>E38-D38</f>
        <v>0</v>
      </c>
      <c r="F39" s="289">
        <f>F38-E38</f>
        <v>0</v>
      </c>
    </row>
    <row r="40" spans="1:8" ht="16.5" hidden="1" customHeight="1" thickBot="1">
      <c r="A40" s="62" t="s">
        <v>69</v>
      </c>
      <c r="B40" s="290" t="s">
        <v>26</v>
      </c>
      <c r="C40" s="291">
        <f>IFERROR((C38/B38)-100%,0)</f>
        <v>0</v>
      </c>
      <c r="D40" s="291">
        <f t="shared" ref="D40" si="6">IFERROR((D38/C38)-100%,0)</f>
        <v>0</v>
      </c>
      <c r="E40" s="291">
        <f>IFERROR((E38/D38)-100%,0)</f>
        <v>0</v>
      </c>
      <c r="F40" s="291">
        <f t="shared" ref="F40" si="7">IFERROR((F38/E38)-100%,0)</f>
        <v>0</v>
      </c>
    </row>
    <row r="41" spans="1:8" ht="16.5" hidden="1" customHeight="1" thickTop="1">
      <c r="B41" s="42"/>
    </row>
    <row r="42" spans="1:8" ht="16.5" hidden="1" customHeight="1" thickBot="1">
      <c r="A42" s="283" t="s">
        <v>26</v>
      </c>
      <c r="B42" s="284">
        <v>1</v>
      </c>
      <c r="C42" s="284">
        <v>2</v>
      </c>
      <c r="D42" s="284">
        <v>3</v>
      </c>
      <c r="E42" s="284">
        <v>4</v>
      </c>
      <c r="F42" s="284">
        <v>5</v>
      </c>
    </row>
    <row r="43" spans="1:8" ht="16.5" hidden="1" customHeight="1" thickTop="1">
      <c r="A43" s="3" t="s">
        <v>73</v>
      </c>
      <c r="B43" s="285">
        <v>0</v>
      </c>
      <c r="C43" s="285">
        <v>0</v>
      </c>
      <c r="D43" s="285">
        <v>0</v>
      </c>
      <c r="E43" s="285">
        <v>0</v>
      </c>
      <c r="F43" s="285">
        <v>0</v>
      </c>
      <c r="H43" s="4"/>
    </row>
    <row r="44" spans="1:8" ht="16.5" hidden="1" customHeight="1">
      <c r="A44" s="3" t="s">
        <v>74</v>
      </c>
      <c r="B44" s="42">
        <v>0</v>
      </c>
      <c r="C44" s="42">
        <f>B44</f>
        <v>0</v>
      </c>
      <c r="D44" s="42">
        <f>C44</f>
        <v>0</v>
      </c>
      <c r="E44" s="42">
        <f>D44</f>
        <v>0</v>
      </c>
      <c r="F44" s="42">
        <f>E44</f>
        <v>0</v>
      </c>
      <c r="H44" s="4"/>
    </row>
    <row r="45" spans="1:8" ht="16.5" hidden="1" customHeight="1">
      <c r="A45" s="3" t="s">
        <v>75</v>
      </c>
      <c r="B45" s="42">
        <f>B44*B43</f>
        <v>0</v>
      </c>
      <c r="C45" s="42">
        <f>C44*C43</f>
        <v>0</v>
      </c>
      <c r="D45" s="42">
        <f>D44*D43</f>
        <v>0</v>
      </c>
      <c r="E45" s="42">
        <f>E44*E43</f>
        <v>0</v>
      </c>
      <c r="F45" s="42">
        <f>F44*F43</f>
        <v>0</v>
      </c>
      <c r="H45" s="4"/>
    </row>
    <row r="46" spans="1:8" ht="16.5" hidden="1" customHeight="1">
      <c r="A46" s="287" t="s">
        <v>68</v>
      </c>
      <c r="B46" s="288" t="s">
        <v>26</v>
      </c>
      <c r="C46" s="289">
        <f>C45-B45</f>
        <v>0</v>
      </c>
      <c r="D46" s="289">
        <f>D45-C45</f>
        <v>0</v>
      </c>
      <c r="E46" s="289">
        <f>E45-D45</f>
        <v>0</v>
      </c>
      <c r="F46" s="289">
        <f>F45-E45</f>
        <v>0</v>
      </c>
    </row>
    <row r="47" spans="1:8" ht="16.5" hidden="1" customHeight="1" thickBot="1">
      <c r="A47" s="62" t="s">
        <v>69</v>
      </c>
      <c r="B47" s="290" t="s">
        <v>26</v>
      </c>
      <c r="C47" s="291">
        <f>IFERROR((C45/B45)-100%,0)</f>
        <v>0</v>
      </c>
      <c r="D47" s="291">
        <f t="shared" ref="D47" si="8">IFERROR((D45/C45)-100%,0)</f>
        <v>0</v>
      </c>
      <c r="E47" s="291">
        <f t="shared" ref="E47" si="9">IFERROR((E45/D45)-100%,0)</f>
        <v>0</v>
      </c>
      <c r="F47" s="291">
        <f t="shared" ref="F47" si="10">IFERROR((F45/E45)-100%,0)</f>
        <v>0</v>
      </c>
    </row>
    <row r="48" spans="1:8" ht="16.5" hidden="1" customHeight="1" thickTop="1"/>
    <row r="49" spans="1:8" ht="16.5" hidden="1" customHeight="1" thickBot="1">
      <c r="A49" s="283" t="s">
        <v>26</v>
      </c>
      <c r="B49" s="284">
        <v>1</v>
      </c>
      <c r="C49" s="284">
        <v>2</v>
      </c>
      <c r="D49" s="284">
        <v>3</v>
      </c>
      <c r="E49" s="284">
        <v>4</v>
      </c>
      <c r="F49" s="284">
        <v>5</v>
      </c>
    </row>
    <row r="50" spans="1:8" ht="16.5" hidden="1" customHeight="1" thickTop="1">
      <c r="A50" s="3" t="s">
        <v>73</v>
      </c>
      <c r="B50" s="285">
        <v>0</v>
      </c>
      <c r="C50" s="285">
        <v>0</v>
      </c>
      <c r="D50" s="285">
        <v>0</v>
      </c>
      <c r="E50" s="285">
        <v>0</v>
      </c>
      <c r="F50" s="285">
        <v>0</v>
      </c>
      <c r="H50" s="4"/>
    </row>
    <row r="51" spans="1:8" ht="16.5" hidden="1" customHeight="1">
      <c r="A51" s="3" t="s">
        <v>74</v>
      </c>
      <c r="B51" s="42">
        <v>0</v>
      </c>
      <c r="C51" s="42">
        <f>B51</f>
        <v>0</v>
      </c>
      <c r="D51" s="42">
        <f>C51</f>
        <v>0</v>
      </c>
      <c r="E51" s="42">
        <f>D51</f>
        <v>0</v>
      </c>
      <c r="F51" s="42">
        <f>E51</f>
        <v>0</v>
      </c>
      <c r="H51" s="4"/>
    </row>
    <row r="52" spans="1:8" ht="16.5" hidden="1" customHeight="1">
      <c r="A52" s="3" t="s">
        <v>75</v>
      </c>
      <c r="B52" s="42">
        <f>B51*B50</f>
        <v>0</v>
      </c>
      <c r="C52" s="42">
        <f>C51*C50</f>
        <v>0</v>
      </c>
      <c r="D52" s="42">
        <f>D51*D50</f>
        <v>0</v>
      </c>
      <c r="E52" s="42">
        <f>E51*E50</f>
        <v>0</v>
      </c>
      <c r="F52" s="42">
        <f>F51*F50</f>
        <v>0</v>
      </c>
    </row>
    <row r="53" spans="1:8" ht="16.5" hidden="1" customHeight="1">
      <c r="A53" s="287" t="s">
        <v>68</v>
      </c>
      <c r="B53" s="288" t="s">
        <v>26</v>
      </c>
      <c r="C53" s="289">
        <f>C52-B52</f>
        <v>0</v>
      </c>
      <c r="D53" s="289">
        <f>D52-C52</f>
        <v>0</v>
      </c>
      <c r="E53" s="289">
        <f>E52-D52</f>
        <v>0</v>
      </c>
      <c r="F53" s="289">
        <f>F52-E52</f>
        <v>0</v>
      </c>
    </row>
    <row r="54" spans="1:8" ht="16.5" hidden="1" customHeight="1" thickBot="1">
      <c r="A54" s="62" t="s">
        <v>69</v>
      </c>
      <c r="B54" s="290" t="s">
        <v>26</v>
      </c>
      <c r="C54" s="291">
        <f>IFERROR((C52/B52)-100%,0)</f>
        <v>0</v>
      </c>
      <c r="D54" s="291">
        <f t="shared" ref="D54" si="11">IFERROR((D52/C52)-100%,0)</f>
        <v>0</v>
      </c>
      <c r="E54" s="291">
        <f t="shared" ref="E54" si="12">IFERROR((E52/D52)-100%,0)</f>
        <v>0</v>
      </c>
      <c r="F54" s="291">
        <f t="shared" ref="F54" si="13">IFERROR((F52/E52)-100%,0)</f>
        <v>0</v>
      </c>
    </row>
    <row r="55" spans="1:8" ht="16.5" hidden="1" customHeight="1" thickTop="1">
      <c r="H55" s="4"/>
    </row>
    <row r="56" spans="1:8" ht="16.5" hidden="1" customHeight="1" thickBot="1">
      <c r="A56" s="283" t="s">
        <v>26</v>
      </c>
      <c r="B56" s="284">
        <v>1</v>
      </c>
      <c r="C56" s="284">
        <v>2</v>
      </c>
      <c r="D56" s="284">
        <v>3</v>
      </c>
      <c r="E56" s="284">
        <v>4</v>
      </c>
      <c r="F56" s="284">
        <v>5</v>
      </c>
      <c r="H56" s="4"/>
    </row>
    <row r="57" spans="1:8" ht="16.5" hidden="1" customHeight="1" thickTop="1">
      <c r="A57" s="3" t="s">
        <v>73</v>
      </c>
      <c r="B57" s="285">
        <v>0</v>
      </c>
      <c r="C57" s="285">
        <v>0</v>
      </c>
      <c r="D57" s="285">
        <v>0</v>
      </c>
      <c r="E57" s="285">
        <v>0</v>
      </c>
      <c r="F57" s="285">
        <v>0</v>
      </c>
    </row>
    <row r="58" spans="1:8" ht="16.5" hidden="1" customHeight="1">
      <c r="A58" s="3" t="s">
        <v>74</v>
      </c>
      <c r="B58" s="42">
        <v>0</v>
      </c>
      <c r="C58" s="42">
        <f>B58</f>
        <v>0</v>
      </c>
      <c r="D58" s="42">
        <f>C58</f>
        <v>0</v>
      </c>
      <c r="E58" s="42">
        <f>D58</f>
        <v>0</v>
      </c>
      <c r="F58" s="42">
        <f>E58</f>
        <v>0</v>
      </c>
    </row>
    <row r="59" spans="1:8" ht="16.5" hidden="1" customHeight="1">
      <c r="A59" s="3" t="s">
        <v>75</v>
      </c>
      <c r="B59" s="42">
        <f>B58*B57</f>
        <v>0</v>
      </c>
      <c r="C59" s="42">
        <f>C58*C57</f>
        <v>0</v>
      </c>
      <c r="D59" s="42">
        <f>D58*D57</f>
        <v>0</v>
      </c>
      <c r="E59" s="42">
        <f>E58*E57</f>
        <v>0</v>
      </c>
      <c r="F59" s="42">
        <f>F58*F57</f>
        <v>0</v>
      </c>
    </row>
    <row r="60" spans="1:8" ht="16.5" hidden="1" customHeight="1">
      <c r="A60" s="287" t="s">
        <v>68</v>
      </c>
      <c r="B60" s="288" t="s">
        <v>26</v>
      </c>
      <c r="C60" s="289">
        <f>C59-B59</f>
        <v>0</v>
      </c>
      <c r="D60" s="289">
        <f>D59-C59</f>
        <v>0</v>
      </c>
      <c r="E60" s="289">
        <f>E59-D59</f>
        <v>0</v>
      </c>
      <c r="F60" s="289">
        <f>F59-E59</f>
        <v>0</v>
      </c>
    </row>
    <row r="61" spans="1:8" ht="16.5" hidden="1" customHeight="1" thickBot="1">
      <c r="A61" s="62" t="s">
        <v>69</v>
      </c>
      <c r="B61" s="290" t="s">
        <v>26</v>
      </c>
      <c r="C61" s="291">
        <f>IFERROR((C59/B59)-100%,0)</f>
        <v>0</v>
      </c>
      <c r="D61" s="291">
        <f t="shared" ref="D61" si="14">IFERROR((D59/C59)-100%,0)</f>
        <v>0</v>
      </c>
      <c r="E61" s="291">
        <f t="shared" ref="E61" si="15">IFERROR((E59/D59)-100%,0)</f>
        <v>0</v>
      </c>
      <c r="F61" s="291">
        <f t="shared" ref="F61" si="16">IFERROR((F59/E59)-100%,0)</f>
        <v>0</v>
      </c>
    </row>
    <row r="62" spans="1:8" ht="18.75" hidden="1" customHeight="1" thickTop="1"/>
    <row r="63" spans="1:8" ht="16.5" hidden="1" customHeight="1" thickBot="1">
      <c r="A63" s="283" t="s">
        <v>26</v>
      </c>
      <c r="B63" s="284">
        <v>1</v>
      </c>
      <c r="C63" s="284">
        <v>2</v>
      </c>
      <c r="D63" s="284">
        <v>3</v>
      </c>
      <c r="E63" s="284">
        <v>4</v>
      </c>
      <c r="F63" s="284">
        <v>5</v>
      </c>
    </row>
    <row r="64" spans="1:8" ht="16.5" hidden="1" customHeight="1" thickTop="1">
      <c r="A64" s="3" t="s">
        <v>76</v>
      </c>
      <c r="B64" s="285">
        <v>0</v>
      </c>
      <c r="C64" s="285">
        <v>0</v>
      </c>
      <c r="D64" s="285">
        <v>0</v>
      </c>
      <c r="E64" s="285">
        <v>0</v>
      </c>
      <c r="F64" s="285">
        <v>0</v>
      </c>
    </row>
    <row r="65" spans="1:6" ht="16.5" hidden="1" customHeight="1">
      <c r="A65" s="3" t="s">
        <v>74</v>
      </c>
      <c r="B65" s="42">
        <v>0</v>
      </c>
      <c r="C65" s="42">
        <f>B65</f>
        <v>0</v>
      </c>
      <c r="D65" s="42">
        <f>C65</f>
        <v>0</v>
      </c>
      <c r="E65" s="42">
        <f>D65</f>
        <v>0</v>
      </c>
      <c r="F65" s="42">
        <f>E65</f>
        <v>0</v>
      </c>
    </row>
    <row r="66" spans="1:6" ht="16.5" hidden="1" customHeight="1">
      <c r="A66" s="3" t="s">
        <v>75</v>
      </c>
      <c r="B66" s="42">
        <f>B65*B64</f>
        <v>0</v>
      </c>
      <c r="C66" s="42">
        <f>C65*C64</f>
        <v>0</v>
      </c>
      <c r="D66" s="42">
        <f>D65*D64</f>
        <v>0</v>
      </c>
      <c r="E66" s="42">
        <f>E65*E64</f>
        <v>0</v>
      </c>
      <c r="F66" s="42">
        <f>F65*F64</f>
        <v>0</v>
      </c>
    </row>
    <row r="67" spans="1:6" ht="16.5" hidden="1" customHeight="1">
      <c r="A67" s="287" t="s">
        <v>68</v>
      </c>
      <c r="B67" s="288" t="s">
        <v>26</v>
      </c>
      <c r="C67" s="289">
        <f>C66-B66</f>
        <v>0</v>
      </c>
      <c r="D67" s="289">
        <f>D66-C66</f>
        <v>0</v>
      </c>
      <c r="E67" s="289">
        <f>E66-D66</f>
        <v>0</v>
      </c>
      <c r="F67" s="289">
        <f>F66-E66</f>
        <v>0</v>
      </c>
    </row>
    <row r="68" spans="1:6" ht="16.5" hidden="1" customHeight="1" thickBot="1">
      <c r="A68" s="62" t="s">
        <v>69</v>
      </c>
      <c r="B68" s="290" t="s">
        <v>26</v>
      </c>
      <c r="C68" s="291">
        <f>IFERROR((C66/B66)-100%,0)</f>
        <v>0</v>
      </c>
      <c r="D68" s="291">
        <f t="shared" ref="D68" si="17">IFERROR((D66/C66)-100%,0)</f>
        <v>0</v>
      </c>
      <c r="E68" s="291">
        <f t="shared" ref="E68" si="18">IFERROR((E66/D66)-100%,0)</f>
        <v>0</v>
      </c>
      <c r="F68" s="291">
        <f t="shared" ref="F68" si="19">IFERROR((F66/E66)-100%,0)</f>
        <v>0</v>
      </c>
    </row>
    <row r="69" spans="1:6" ht="16.5" hidden="1" customHeight="1" thickTop="1"/>
    <row r="70" spans="1:6" ht="16.5" hidden="1" customHeight="1" thickBot="1">
      <c r="A70" s="283" t="s">
        <v>26</v>
      </c>
      <c r="B70" s="284">
        <v>1</v>
      </c>
      <c r="C70" s="284">
        <v>2</v>
      </c>
      <c r="D70" s="284">
        <v>3</v>
      </c>
      <c r="E70" s="284">
        <v>4</v>
      </c>
      <c r="F70" s="284">
        <v>5</v>
      </c>
    </row>
    <row r="71" spans="1:6" ht="16.5" hidden="1" customHeight="1" thickTop="1">
      <c r="A71" s="3" t="s">
        <v>77</v>
      </c>
      <c r="B71" s="285">
        <v>0</v>
      </c>
      <c r="C71" s="285">
        <v>0</v>
      </c>
      <c r="D71" s="285">
        <v>0</v>
      </c>
      <c r="E71" s="285">
        <v>0</v>
      </c>
      <c r="F71" s="285">
        <v>0</v>
      </c>
    </row>
    <row r="72" spans="1:6" ht="16.5" hidden="1" customHeight="1">
      <c r="A72" s="3" t="s">
        <v>78</v>
      </c>
      <c r="B72" s="42">
        <v>0</v>
      </c>
      <c r="C72" s="42">
        <f>B72</f>
        <v>0</v>
      </c>
      <c r="D72" s="42">
        <f>C72</f>
        <v>0</v>
      </c>
      <c r="E72" s="42">
        <f>D72</f>
        <v>0</v>
      </c>
      <c r="F72" s="42">
        <f>E72</f>
        <v>0</v>
      </c>
    </row>
    <row r="73" spans="1:6" ht="16.5" hidden="1" customHeight="1">
      <c r="A73" s="3" t="s">
        <v>75</v>
      </c>
      <c r="B73" s="42">
        <f>B72*B71</f>
        <v>0</v>
      </c>
      <c r="C73" s="42">
        <f>C72*C71</f>
        <v>0</v>
      </c>
      <c r="D73" s="42">
        <f>D72*D71</f>
        <v>0</v>
      </c>
      <c r="E73" s="42">
        <f>E72*E71</f>
        <v>0</v>
      </c>
      <c r="F73" s="42">
        <f>F72*F71</f>
        <v>0</v>
      </c>
    </row>
    <row r="74" spans="1:6" ht="16.5" hidden="1" customHeight="1">
      <c r="A74" s="287" t="s">
        <v>68</v>
      </c>
      <c r="B74" s="288" t="s">
        <v>26</v>
      </c>
      <c r="C74" s="289">
        <f>C73-B73</f>
        <v>0</v>
      </c>
      <c r="D74" s="289">
        <f>D73-C73</f>
        <v>0</v>
      </c>
      <c r="E74" s="289">
        <f>E73-D73</f>
        <v>0</v>
      </c>
      <c r="F74" s="289">
        <f>F73-E73</f>
        <v>0</v>
      </c>
    </row>
    <row r="75" spans="1:6" ht="16.5" hidden="1" customHeight="1" thickBot="1">
      <c r="A75" s="62" t="s">
        <v>69</v>
      </c>
      <c r="B75" s="290" t="s">
        <v>26</v>
      </c>
      <c r="C75" s="291">
        <f>IFERROR((C73/B73)-100%,0)</f>
        <v>0</v>
      </c>
      <c r="D75" s="291">
        <f t="shared" ref="D75" si="20">IFERROR((D73/C73)-100%,0)</f>
        <v>0</v>
      </c>
      <c r="E75" s="291">
        <f t="shared" ref="E75" si="21">IFERROR((E73/D73)-100%,0)</f>
        <v>0</v>
      </c>
      <c r="F75" s="291">
        <f t="shared" ref="F75" si="22">IFERROR((F73/E73)-100%,0)</f>
        <v>0</v>
      </c>
    </row>
    <row r="76" spans="1:6" ht="16.5" hidden="1" customHeight="1" thickTop="1"/>
    <row r="77" spans="1:6" ht="16.5" hidden="1" customHeight="1" thickBot="1">
      <c r="A77" s="283" t="s">
        <v>26</v>
      </c>
      <c r="B77" s="284">
        <v>1</v>
      </c>
      <c r="C77" s="284">
        <v>2</v>
      </c>
      <c r="D77" s="284">
        <v>3</v>
      </c>
      <c r="E77" s="284">
        <v>4</v>
      </c>
      <c r="F77" s="284">
        <v>5</v>
      </c>
    </row>
    <row r="78" spans="1:6" ht="16.5" hidden="1" customHeight="1" thickTop="1">
      <c r="A78" s="3" t="s">
        <v>77</v>
      </c>
      <c r="B78" s="285">
        <v>0</v>
      </c>
      <c r="C78" s="285">
        <v>0</v>
      </c>
      <c r="D78" s="285">
        <v>0</v>
      </c>
      <c r="E78" s="285">
        <v>0</v>
      </c>
      <c r="F78" s="285">
        <v>0</v>
      </c>
    </row>
    <row r="79" spans="1:6" ht="16.5" hidden="1" customHeight="1">
      <c r="A79" s="3" t="s">
        <v>78</v>
      </c>
      <c r="B79" s="42">
        <v>0</v>
      </c>
      <c r="C79" s="42">
        <f>B79</f>
        <v>0</v>
      </c>
      <c r="D79" s="42">
        <f>C79</f>
        <v>0</v>
      </c>
      <c r="E79" s="42">
        <f>D79</f>
        <v>0</v>
      </c>
      <c r="F79" s="42">
        <f>E79</f>
        <v>0</v>
      </c>
    </row>
    <row r="80" spans="1:6" ht="16.5" hidden="1" customHeight="1">
      <c r="A80" s="3" t="s">
        <v>75</v>
      </c>
      <c r="B80" s="42">
        <f>B79*B78</f>
        <v>0</v>
      </c>
      <c r="C80" s="42">
        <f>C79*C78</f>
        <v>0</v>
      </c>
      <c r="D80" s="42">
        <f>D79*D78</f>
        <v>0</v>
      </c>
      <c r="E80" s="42">
        <f>E79*E78</f>
        <v>0</v>
      </c>
      <c r="F80" s="42">
        <f>F79*F78</f>
        <v>0</v>
      </c>
    </row>
    <row r="81" spans="1:6" ht="16.5" hidden="1" customHeight="1">
      <c r="A81" s="287" t="s">
        <v>68</v>
      </c>
      <c r="B81" s="288" t="s">
        <v>26</v>
      </c>
      <c r="C81" s="289">
        <f>C80-B80</f>
        <v>0</v>
      </c>
      <c r="D81" s="289">
        <f>D80-C80</f>
        <v>0</v>
      </c>
      <c r="E81" s="289">
        <f>E80-D80</f>
        <v>0</v>
      </c>
      <c r="F81" s="289">
        <f>F80-E80</f>
        <v>0</v>
      </c>
    </row>
    <row r="82" spans="1:6" ht="16.5" hidden="1" customHeight="1" thickBot="1">
      <c r="A82" s="62" t="s">
        <v>69</v>
      </c>
      <c r="B82" s="290" t="s">
        <v>26</v>
      </c>
      <c r="C82" s="291">
        <f>IFERROR((C80/B80)-100%,0)</f>
        <v>0</v>
      </c>
      <c r="D82" s="291">
        <f t="shared" ref="D82" si="23">IFERROR((D80/C80)-100%,0)</f>
        <v>0</v>
      </c>
      <c r="E82" s="291">
        <f t="shared" ref="E82" si="24">IFERROR((E80/D80)-100%,0)</f>
        <v>0</v>
      </c>
      <c r="F82" s="291">
        <f t="shared" ref="F82" si="25">IFERROR((F80/E80)-100%,0)</f>
        <v>0</v>
      </c>
    </row>
    <row r="83" spans="1:6" ht="16.5" hidden="1" customHeight="1" thickTop="1"/>
    <row r="84" spans="1:6" ht="16.5" hidden="1" customHeight="1" thickBot="1">
      <c r="A84" s="283" t="s">
        <v>26</v>
      </c>
      <c r="B84" s="284">
        <v>1</v>
      </c>
      <c r="C84" s="284">
        <v>2</v>
      </c>
      <c r="D84" s="284">
        <v>3</v>
      </c>
      <c r="E84" s="284">
        <v>4</v>
      </c>
      <c r="F84" s="284">
        <v>5</v>
      </c>
    </row>
    <row r="85" spans="1:6" ht="16.5" hidden="1" customHeight="1" thickTop="1">
      <c r="A85" s="3" t="s">
        <v>77</v>
      </c>
      <c r="B85" s="285">
        <v>0</v>
      </c>
      <c r="C85" s="285">
        <v>0</v>
      </c>
      <c r="D85" s="285">
        <v>0</v>
      </c>
      <c r="E85" s="285">
        <v>0</v>
      </c>
      <c r="F85" s="285">
        <v>0</v>
      </c>
    </row>
    <row r="86" spans="1:6" ht="16.5" hidden="1" customHeight="1">
      <c r="A86" s="3" t="s">
        <v>78</v>
      </c>
      <c r="B86" s="42">
        <v>0</v>
      </c>
      <c r="C86" s="42">
        <f>B86</f>
        <v>0</v>
      </c>
      <c r="D86" s="42">
        <f>C86</f>
        <v>0</v>
      </c>
      <c r="E86" s="42">
        <f>D86</f>
        <v>0</v>
      </c>
      <c r="F86" s="42">
        <f>E86</f>
        <v>0</v>
      </c>
    </row>
    <row r="87" spans="1:6" ht="16.5" hidden="1" customHeight="1">
      <c r="A87" s="3" t="s">
        <v>75</v>
      </c>
      <c r="B87" s="42">
        <f>B86*B85</f>
        <v>0</v>
      </c>
      <c r="C87" s="42">
        <f>C86*C85</f>
        <v>0</v>
      </c>
      <c r="D87" s="42">
        <f>D86*D85</f>
        <v>0</v>
      </c>
      <c r="E87" s="42">
        <f>E86*E85</f>
        <v>0</v>
      </c>
      <c r="F87" s="42">
        <f>F86*F85</f>
        <v>0</v>
      </c>
    </row>
    <row r="88" spans="1:6" ht="16.5" hidden="1" customHeight="1">
      <c r="A88" s="287" t="s">
        <v>68</v>
      </c>
      <c r="B88" s="288" t="s">
        <v>26</v>
      </c>
      <c r="C88" s="289">
        <f>C87-B87</f>
        <v>0</v>
      </c>
      <c r="D88" s="289">
        <f>D87-C87</f>
        <v>0</v>
      </c>
      <c r="E88" s="289">
        <f>E87-D87</f>
        <v>0</v>
      </c>
      <c r="F88" s="289">
        <f>F87-E87</f>
        <v>0</v>
      </c>
    </row>
    <row r="89" spans="1:6" ht="16.5" hidden="1" customHeight="1" thickBot="1">
      <c r="A89" s="62" t="s">
        <v>69</v>
      </c>
      <c r="B89" s="290" t="s">
        <v>26</v>
      </c>
      <c r="C89" s="291">
        <f>IFERROR((C87/B87)-100%,0)</f>
        <v>0</v>
      </c>
      <c r="D89" s="291">
        <f t="shared" ref="D89" si="26">IFERROR((D87/C87)-100%,0)</f>
        <v>0</v>
      </c>
      <c r="E89" s="291">
        <f t="shared" ref="E89" si="27">IFERROR((E87/D87)-100%,0)</f>
        <v>0</v>
      </c>
      <c r="F89" s="291">
        <f t="shared" ref="F89" si="28">IFERROR((F87/E87)-100%,0)</f>
        <v>0</v>
      </c>
    </row>
    <row r="90" spans="1:6" ht="15.4" hidden="1" customHeight="1" thickTop="1"/>
    <row r="91" spans="1:6" ht="15.75" customHeight="1" thickBot="1">
      <c r="A91" s="283" t="s">
        <v>79</v>
      </c>
      <c r="B91" s="544">
        <f>B5</f>
        <v>2025</v>
      </c>
      <c r="C91" s="544">
        <f>C5</f>
        <v>2026</v>
      </c>
      <c r="D91" s="544">
        <f>D5</f>
        <v>2027</v>
      </c>
      <c r="E91" s="544">
        <f>E5</f>
        <v>2028</v>
      </c>
      <c r="F91" s="544">
        <f>F5</f>
        <v>2029</v>
      </c>
    </row>
    <row r="92" spans="1:6" ht="15.75" customHeight="1" thickTop="1">
      <c r="A92" s="3" t="str">
        <f>A7</f>
        <v>Revenues before lunch</v>
      </c>
      <c r="B92" s="292">
        <f>B8</f>
        <v>30940</v>
      </c>
      <c r="C92" s="292">
        <f>C8</f>
        <v>32760</v>
      </c>
      <c r="D92" s="292">
        <f>D8</f>
        <v>34580</v>
      </c>
      <c r="E92" s="292">
        <f>E8</f>
        <v>36400</v>
      </c>
      <c r="F92" s="292">
        <f>F8</f>
        <v>38220</v>
      </c>
    </row>
    <row r="93" spans="1:6" ht="15.75" customHeight="1">
      <c r="A93" s="3" t="str">
        <f>A14</f>
        <v>Revenues during lunch</v>
      </c>
      <c r="B93" s="292">
        <f>B15</f>
        <v>21840</v>
      </c>
      <c r="C93" s="292">
        <f>C15</f>
        <v>22932</v>
      </c>
      <c r="D93" s="292">
        <f>D15</f>
        <v>24024</v>
      </c>
      <c r="E93" s="292">
        <f>E15</f>
        <v>25116</v>
      </c>
      <c r="F93" s="292">
        <f>F15</f>
        <v>26208</v>
      </c>
    </row>
    <row r="94" spans="1:6" ht="15.75" customHeight="1">
      <c r="A94" s="3" t="str">
        <f>A21</f>
        <v>Revenues after lunch</v>
      </c>
      <c r="B94" s="292">
        <f>B22</f>
        <v>29120</v>
      </c>
      <c r="C94" s="292">
        <f>C22</f>
        <v>30576</v>
      </c>
      <c r="D94" s="292">
        <f>D22</f>
        <v>32032</v>
      </c>
      <c r="E94" s="292">
        <f>E22</f>
        <v>33488</v>
      </c>
      <c r="F94" s="292">
        <f>F22</f>
        <v>34944</v>
      </c>
    </row>
    <row r="95" spans="1:6" ht="15.75" customHeight="1">
      <c r="A95" s="3" t="str">
        <f>A28</f>
        <v>Revenues during dinner</v>
      </c>
      <c r="B95" s="292">
        <f>B29</f>
        <v>10192</v>
      </c>
      <c r="C95" s="292">
        <f>C29</f>
        <v>10192</v>
      </c>
      <c r="D95" s="292">
        <f>D29</f>
        <v>10192</v>
      </c>
      <c r="E95" s="292">
        <f>E29</f>
        <v>10192</v>
      </c>
      <c r="F95" s="292">
        <f>F29</f>
        <v>10192</v>
      </c>
    </row>
    <row r="96" spans="1:6" ht="15.75" hidden="1" customHeight="1">
      <c r="A96" s="3" t="str">
        <f>A35</f>
        <v>//</v>
      </c>
      <c r="B96" s="292">
        <f>B36</f>
        <v>0</v>
      </c>
      <c r="C96" s="292">
        <f>C36</f>
        <v>0</v>
      </c>
      <c r="D96" s="292">
        <f>D36</f>
        <v>0</v>
      </c>
      <c r="E96" s="292">
        <f>E36</f>
        <v>0</v>
      </c>
      <c r="F96" s="292">
        <f>F36</f>
        <v>0</v>
      </c>
    </row>
    <row r="97" spans="1:6" ht="15.75" hidden="1" customHeight="1">
      <c r="A97" s="3" t="str">
        <f>A42</f>
        <v>//</v>
      </c>
      <c r="B97" s="292">
        <f>B43</f>
        <v>0</v>
      </c>
      <c r="C97" s="292">
        <f>C43</f>
        <v>0</v>
      </c>
      <c r="D97" s="292">
        <f>D43</f>
        <v>0</v>
      </c>
      <c r="E97" s="292">
        <f>E43</f>
        <v>0</v>
      </c>
      <c r="F97" s="292">
        <f>F43</f>
        <v>0</v>
      </c>
    </row>
    <row r="98" spans="1:6" ht="15.75" hidden="1" customHeight="1">
      <c r="A98" s="3" t="str">
        <f>A49</f>
        <v>//</v>
      </c>
      <c r="B98" s="292">
        <f>B50</f>
        <v>0</v>
      </c>
      <c r="C98" s="292">
        <f>C50</f>
        <v>0</v>
      </c>
      <c r="D98" s="292">
        <f>D50</f>
        <v>0</v>
      </c>
      <c r="E98" s="292">
        <f>E50</f>
        <v>0</v>
      </c>
      <c r="F98" s="292">
        <f>F50</f>
        <v>0</v>
      </c>
    </row>
    <row r="99" spans="1:6" ht="15.75" hidden="1" customHeight="1">
      <c r="A99" s="3" t="str">
        <f>A56</f>
        <v>//</v>
      </c>
      <c r="B99" s="292">
        <f>B57</f>
        <v>0</v>
      </c>
      <c r="C99" s="292">
        <f>C57</f>
        <v>0</v>
      </c>
      <c r="D99" s="292">
        <f>D57</f>
        <v>0</v>
      </c>
      <c r="E99" s="292">
        <f>E57</f>
        <v>0</v>
      </c>
      <c r="F99" s="292">
        <f>F57</f>
        <v>0</v>
      </c>
    </row>
    <row r="100" spans="1:6" ht="15.75" hidden="1" customHeight="1">
      <c r="A100" s="3" t="str">
        <f>A63</f>
        <v>//</v>
      </c>
      <c r="B100" s="292">
        <f>B64</f>
        <v>0</v>
      </c>
      <c r="C100" s="292">
        <f>C64</f>
        <v>0</v>
      </c>
      <c r="D100" s="292">
        <f>D64</f>
        <v>0</v>
      </c>
      <c r="E100" s="292">
        <f>E64</f>
        <v>0</v>
      </c>
      <c r="F100" s="292">
        <f>F64</f>
        <v>0</v>
      </c>
    </row>
    <row r="101" spans="1:6" ht="15.75" hidden="1" customHeight="1">
      <c r="A101" s="3" t="str">
        <f>A70</f>
        <v>//</v>
      </c>
      <c r="B101" s="292">
        <f>B71</f>
        <v>0</v>
      </c>
      <c r="C101" s="292">
        <f>C71</f>
        <v>0</v>
      </c>
      <c r="D101" s="292">
        <f>D71</f>
        <v>0</v>
      </c>
      <c r="E101" s="292">
        <f>E71</f>
        <v>0</v>
      </c>
      <c r="F101" s="292">
        <f>F71</f>
        <v>0</v>
      </c>
    </row>
    <row r="102" spans="1:6" ht="15.75" hidden="1" customHeight="1">
      <c r="A102" s="3" t="str">
        <f>A77</f>
        <v>//</v>
      </c>
      <c r="B102" s="292">
        <f>B78</f>
        <v>0</v>
      </c>
      <c r="C102" s="292">
        <f>C78</f>
        <v>0</v>
      </c>
      <c r="D102" s="292">
        <f>D78</f>
        <v>0</v>
      </c>
      <c r="E102" s="292">
        <f>E78</f>
        <v>0</v>
      </c>
      <c r="F102" s="292">
        <f>F78</f>
        <v>0</v>
      </c>
    </row>
    <row r="103" spans="1:6" ht="15.75" hidden="1" customHeight="1">
      <c r="A103" s="3" t="str">
        <f>A84</f>
        <v>//</v>
      </c>
      <c r="B103" s="292">
        <f>B85</f>
        <v>0</v>
      </c>
      <c r="C103" s="292">
        <f>C85</f>
        <v>0</v>
      </c>
      <c r="D103" s="292">
        <f>D85</f>
        <v>0</v>
      </c>
      <c r="E103" s="292">
        <f>E85</f>
        <v>0</v>
      </c>
      <c r="F103" s="292">
        <f>F85</f>
        <v>0</v>
      </c>
    </row>
    <row r="104" spans="1:6" ht="15.75" customHeight="1" thickBot="1">
      <c r="A104" s="293" t="s">
        <v>80</v>
      </c>
      <c r="B104" s="294">
        <f>SUM(B92:B103)</f>
        <v>92092</v>
      </c>
      <c r="C104" s="294">
        <f t="shared" ref="C104:F104" si="29">SUM(C92:C103)</f>
        <v>96460</v>
      </c>
      <c r="D104" s="294">
        <f t="shared" si="29"/>
        <v>100828</v>
      </c>
      <c r="E104" s="294">
        <f t="shared" si="29"/>
        <v>105196</v>
      </c>
      <c r="F104" s="294">
        <f t="shared" si="29"/>
        <v>109564</v>
      </c>
    </row>
    <row r="105" spans="1:6" ht="15.75" customHeight="1" thickTop="1"/>
    <row r="106" spans="1:6" ht="15.75" customHeight="1" thickBot="1">
      <c r="A106" s="283" t="s">
        <v>67</v>
      </c>
      <c r="B106" s="544">
        <f>B5</f>
        <v>2025</v>
      </c>
      <c r="C106" s="544">
        <f>C5</f>
        <v>2026</v>
      </c>
      <c r="D106" s="544">
        <f>D5</f>
        <v>2027</v>
      </c>
      <c r="E106" s="544">
        <f>E5</f>
        <v>2028</v>
      </c>
      <c r="F106" s="544">
        <f>F5</f>
        <v>2029</v>
      </c>
    </row>
    <row r="107" spans="1:6" ht="15.75" customHeight="1" thickTop="1">
      <c r="A107" s="3" t="str">
        <f>A92</f>
        <v>Revenues before lunch</v>
      </c>
      <c r="B107" s="141">
        <f>IFERROR(B10,0)</f>
        <v>365654.54545454541</v>
      </c>
      <c r="C107" s="141">
        <f>IFERROR(C10,0)</f>
        <v>394906.90909090906</v>
      </c>
      <c r="D107" s="141">
        <f>IFERROR(D10,0)</f>
        <v>425183.10545454541</v>
      </c>
      <c r="E107" s="141">
        <f>IFERROR(E10,0)</f>
        <v>456512.38690909086</v>
      </c>
      <c r="F107" s="141">
        <f>IFERROR(F10,0)</f>
        <v>488924.76637963636</v>
      </c>
    </row>
    <row r="108" spans="1:6" ht="15.75" customHeight="1">
      <c r="A108" s="3" t="str">
        <f>A93</f>
        <v>Revenues during lunch</v>
      </c>
      <c r="B108" s="141">
        <f>IFERROR(B17,0)</f>
        <v>258109.09090909088</v>
      </c>
      <c r="C108" s="141">
        <f>IFERROR(C17,0)</f>
        <v>276434.83636363631</v>
      </c>
      <c r="D108" s="141">
        <f>IFERROR(D17,0)</f>
        <v>295390.36799999996</v>
      </c>
      <c r="E108" s="141">
        <f>IFERROR(E17,0)</f>
        <v>314993.5469672727</v>
      </c>
      <c r="F108" s="141">
        <f>IFERROR(F17,0)</f>
        <v>335262.69694603636</v>
      </c>
    </row>
    <row r="109" spans="1:6" ht="15.75" customHeight="1">
      <c r="A109" s="3" t="str">
        <f t="shared" ref="A109:A117" si="30">A94</f>
        <v>Revenues after lunch</v>
      </c>
      <c r="B109" s="141">
        <f>IFERROR(B24,0)</f>
        <v>92654.545454545456</v>
      </c>
      <c r="C109" s="141">
        <f>IFERROR(C24,0)</f>
        <v>99233.018181818188</v>
      </c>
      <c r="D109" s="141">
        <f>IFERROR(D24,0)</f>
        <v>106037.56800000001</v>
      </c>
      <c r="E109" s="141">
        <f>IFERROR(E24,0)</f>
        <v>113074.60660363638</v>
      </c>
      <c r="F109" s="141">
        <f>IFERROR(F24,0)</f>
        <v>120350.7117242182</v>
      </c>
    </row>
    <row r="110" spans="1:6" ht="15.75" customHeight="1">
      <c r="A110" s="3" t="str">
        <f t="shared" si="30"/>
        <v>Revenues during dinner</v>
      </c>
      <c r="B110" s="141">
        <f>IFERROR(B31,0)</f>
        <v>37061.818181818184</v>
      </c>
      <c r="C110" s="141">
        <f>IFERROR(C31,0)</f>
        <v>37803.054545454543</v>
      </c>
      <c r="D110" s="141">
        <f>IFERROR(D31,0)</f>
        <v>38559.115636363633</v>
      </c>
      <c r="E110" s="141">
        <f>IFERROR(E31,0)</f>
        <v>39330.297949090906</v>
      </c>
      <c r="F110" s="141">
        <f>IFERROR(F31,0)</f>
        <v>40116.903908072723</v>
      </c>
    </row>
    <row r="111" spans="1:6" ht="15.75" hidden="1" customHeight="1">
      <c r="A111" s="3" t="str">
        <f t="shared" si="30"/>
        <v>//</v>
      </c>
      <c r="B111" s="141">
        <f>IFERROR(B38,0)</f>
        <v>0</v>
      </c>
      <c r="C111" s="141">
        <f>IFERROR(C38,0)</f>
        <v>0</v>
      </c>
      <c r="D111" s="141">
        <f>IFERROR(D38,0)</f>
        <v>0</v>
      </c>
      <c r="E111" s="141">
        <f>IFERROR(E38,0)</f>
        <v>0</v>
      </c>
      <c r="F111" s="141">
        <f>IFERROR(F38,0)</f>
        <v>0</v>
      </c>
    </row>
    <row r="112" spans="1:6" ht="15.75" hidden="1" customHeight="1">
      <c r="A112" s="3" t="str">
        <f t="shared" si="30"/>
        <v>//</v>
      </c>
      <c r="B112" s="141">
        <f>IFERROR(B45,0)</f>
        <v>0</v>
      </c>
      <c r="C112" s="141">
        <f>IFERROR(C45,0)</f>
        <v>0</v>
      </c>
      <c r="D112" s="141">
        <f>IFERROR(D45,0)</f>
        <v>0</v>
      </c>
      <c r="E112" s="141">
        <f>IFERROR(E45,0)</f>
        <v>0</v>
      </c>
      <c r="F112" s="141">
        <f>IFERROR(F45,0)</f>
        <v>0</v>
      </c>
    </row>
    <row r="113" spans="1:6" ht="15.75" hidden="1" customHeight="1">
      <c r="A113" s="3" t="str">
        <f t="shared" si="30"/>
        <v>//</v>
      </c>
      <c r="B113" s="141">
        <f>IFERROR(B52,0)</f>
        <v>0</v>
      </c>
      <c r="C113" s="141">
        <f>IFERROR(C52,0)</f>
        <v>0</v>
      </c>
      <c r="D113" s="141">
        <f>IFERROR(D52,0)</f>
        <v>0</v>
      </c>
      <c r="E113" s="141">
        <f>IFERROR(E52,0)</f>
        <v>0</v>
      </c>
      <c r="F113" s="141">
        <f>IFERROR(F52,0)</f>
        <v>0</v>
      </c>
    </row>
    <row r="114" spans="1:6" ht="15.75" hidden="1" customHeight="1">
      <c r="A114" s="3" t="str">
        <f t="shared" si="30"/>
        <v>//</v>
      </c>
      <c r="B114" s="141">
        <f>IFERROR(B59,0)</f>
        <v>0</v>
      </c>
      <c r="C114" s="141">
        <f>IFERROR(C59,0)</f>
        <v>0</v>
      </c>
      <c r="D114" s="141">
        <f>IFERROR(D59,0)</f>
        <v>0</v>
      </c>
      <c r="E114" s="141">
        <f>IFERROR(E59,0)</f>
        <v>0</v>
      </c>
      <c r="F114" s="141">
        <f>IFERROR(F59,0)</f>
        <v>0</v>
      </c>
    </row>
    <row r="115" spans="1:6" ht="15.75" hidden="1" customHeight="1">
      <c r="A115" s="3" t="str">
        <f t="shared" si="30"/>
        <v>//</v>
      </c>
      <c r="B115" s="141">
        <f>IFERROR(B66,0)</f>
        <v>0</v>
      </c>
      <c r="C115" s="141">
        <f>IFERROR(C66,0)</f>
        <v>0</v>
      </c>
      <c r="D115" s="141">
        <f>IFERROR(D66,0)</f>
        <v>0</v>
      </c>
      <c r="E115" s="141">
        <f>IFERROR(E66,0)</f>
        <v>0</v>
      </c>
      <c r="F115" s="141">
        <f>IFERROR(F66,0)</f>
        <v>0</v>
      </c>
    </row>
    <row r="116" spans="1:6" ht="15.75" hidden="1" customHeight="1">
      <c r="A116" s="3" t="str">
        <f t="shared" si="30"/>
        <v>//</v>
      </c>
      <c r="B116" s="141">
        <f>IFERROR(B73,0)</f>
        <v>0</v>
      </c>
      <c r="C116" s="141">
        <f>IFERROR(C73,0)</f>
        <v>0</v>
      </c>
      <c r="D116" s="141">
        <f>IFERROR(D73,0)</f>
        <v>0</v>
      </c>
      <c r="E116" s="141">
        <f>IFERROR(E73,0)</f>
        <v>0</v>
      </c>
      <c r="F116" s="141">
        <f>IFERROR(F73,0)</f>
        <v>0</v>
      </c>
    </row>
    <row r="117" spans="1:6" ht="15.75" hidden="1" customHeight="1">
      <c r="A117" s="3" t="str">
        <f t="shared" si="30"/>
        <v>//</v>
      </c>
      <c r="B117" s="141">
        <f>IFERROR(B80,0)</f>
        <v>0</v>
      </c>
      <c r="C117" s="141">
        <f>IFERROR(C80,0)</f>
        <v>0</v>
      </c>
      <c r="D117" s="141">
        <f>IFERROR(D80,0)</f>
        <v>0</v>
      </c>
      <c r="E117" s="141">
        <f>IFERROR(E80,0)</f>
        <v>0</v>
      </c>
      <c r="F117" s="141">
        <f>IFERROR(F80,0)</f>
        <v>0</v>
      </c>
    </row>
    <row r="118" spans="1:6" ht="15.75" hidden="1" customHeight="1">
      <c r="A118" s="3" t="str">
        <f>A103</f>
        <v>//</v>
      </c>
      <c r="B118" s="141">
        <f>IFERROR(B87,0)</f>
        <v>0</v>
      </c>
      <c r="C118" s="141">
        <f>IFERROR(C87,0)</f>
        <v>0</v>
      </c>
      <c r="D118" s="141">
        <f>IFERROR(D87,0)</f>
        <v>0</v>
      </c>
      <c r="E118" s="141">
        <f>IFERROR(E87,0)</f>
        <v>0</v>
      </c>
      <c r="F118" s="141">
        <f>IFERROR(F87,0)</f>
        <v>0</v>
      </c>
    </row>
    <row r="119" spans="1:6" ht="15.75" customHeight="1" thickBot="1">
      <c r="A119" s="293" t="s">
        <v>80</v>
      </c>
      <c r="B119" s="277">
        <f>SUM(B107:B118)</f>
        <v>753479.99999999988</v>
      </c>
      <c r="C119" s="277">
        <f>SUM(C107:C118)</f>
        <v>808377.81818181812</v>
      </c>
      <c r="D119" s="277">
        <f>SUM(D107:D118)</f>
        <v>865170.15709090896</v>
      </c>
      <c r="E119" s="277">
        <f>SUM(E107:E118)</f>
        <v>923910.83842909092</v>
      </c>
      <c r="F119" s="277">
        <f>SUM(F107:F118)</f>
        <v>984655.07895796373</v>
      </c>
    </row>
    <row r="120" spans="1:6" ht="16.5" customHeight="1" thickTop="1"/>
    <row r="121" spans="1:6" ht="16.5" customHeight="1" thickBot="1">
      <c r="A121" s="283" t="s">
        <v>81</v>
      </c>
      <c r="B121" s="544">
        <f>B106</f>
        <v>2025</v>
      </c>
      <c r="C121" s="544">
        <f>C106</f>
        <v>2026</v>
      </c>
      <c r="D121" s="544">
        <f>D106</f>
        <v>2027</v>
      </c>
      <c r="E121" s="544">
        <f>E106</f>
        <v>2028</v>
      </c>
      <c r="F121" s="544">
        <f>F106</f>
        <v>2029</v>
      </c>
    </row>
    <row r="122" spans="1:6" ht="16.5" customHeight="1" thickTop="1">
      <c r="A122" s="3" t="str">
        <f>A107</f>
        <v>Revenues before lunch</v>
      </c>
      <c r="B122" s="42">
        <f t="shared" ref="B122:F133" si="31">IFERROR(B107/B92,0)</f>
        <v>11.818181818181817</v>
      </c>
      <c r="C122" s="42">
        <f t="shared" si="31"/>
        <v>12.054545454545453</v>
      </c>
      <c r="D122" s="42">
        <f t="shared" si="31"/>
        <v>12.295636363636362</v>
      </c>
      <c r="E122" s="42">
        <f t="shared" si="31"/>
        <v>12.54154909090909</v>
      </c>
      <c r="F122" s="42">
        <f t="shared" si="31"/>
        <v>12.792380072727273</v>
      </c>
    </row>
    <row r="123" spans="1:6" ht="16.5" customHeight="1">
      <c r="A123" s="3" t="str">
        <f t="shared" ref="A123:A133" si="32">A108</f>
        <v>Revenues during lunch</v>
      </c>
      <c r="B123" s="42">
        <f t="shared" si="31"/>
        <v>11.818181818181817</v>
      </c>
      <c r="C123" s="42">
        <f t="shared" si="31"/>
        <v>12.054545454545453</v>
      </c>
      <c r="D123" s="42">
        <f t="shared" si="31"/>
        <v>12.295636363636362</v>
      </c>
      <c r="E123" s="42">
        <f t="shared" si="31"/>
        <v>12.54154909090909</v>
      </c>
      <c r="F123" s="42">
        <f t="shared" si="31"/>
        <v>12.792380072727273</v>
      </c>
    </row>
    <row r="124" spans="1:6" ht="16.5" customHeight="1">
      <c r="A124" s="3" t="str">
        <f t="shared" si="32"/>
        <v>Revenues after lunch</v>
      </c>
      <c r="B124" s="42">
        <f t="shared" si="31"/>
        <v>3.1818181818181817</v>
      </c>
      <c r="C124" s="42">
        <f t="shared" si="31"/>
        <v>3.2454545454545456</v>
      </c>
      <c r="D124" s="42">
        <f t="shared" si="31"/>
        <v>3.3103636363636366</v>
      </c>
      <c r="E124" s="42">
        <f t="shared" si="31"/>
        <v>3.3765709090909093</v>
      </c>
      <c r="F124" s="42">
        <f t="shared" si="31"/>
        <v>3.4441023272727276</v>
      </c>
    </row>
    <row r="125" spans="1:6" ht="16.5" customHeight="1">
      <c r="A125" s="3" t="str">
        <f t="shared" si="32"/>
        <v>Revenues during dinner</v>
      </c>
      <c r="B125" s="42">
        <f t="shared" si="31"/>
        <v>3.6363636363636367</v>
      </c>
      <c r="C125" s="42">
        <f t="shared" si="31"/>
        <v>3.709090909090909</v>
      </c>
      <c r="D125" s="42">
        <f t="shared" si="31"/>
        <v>3.7832727272727271</v>
      </c>
      <c r="E125" s="42">
        <f t="shared" si="31"/>
        <v>3.8589381818181816</v>
      </c>
      <c r="F125" s="42">
        <f t="shared" si="31"/>
        <v>3.936116945454545</v>
      </c>
    </row>
    <row r="126" spans="1:6" ht="16.5" hidden="1" customHeight="1">
      <c r="A126" s="3" t="str">
        <f t="shared" si="32"/>
        <v>//</v>
      </c>
      <c r="B126" s="42">
        <f t="shared" si="31"/>
        <v>0</v>
      </c>
      <c r="C126" s="42">
        <f t="shared" si="31"/>
        <v>0</v>
      </c>
      <c r="D126" s="42">
        <f t="shared" si="31"/>
        <v>0</v>
      </c>
      <c r="E126" s="42">
        <f t="shared" si="31"/>
        <v>0</v>
      </c>
      <c r="F126" s="42">
        <f t="shared" si="31"/>
        <v>0</v>
      </c>
    </row>
    <row r="127" spans="1:6" ht="16.5" hidden="1" customHeight="1">
      <c r="A127" s="3" t="str">
        <f t="shared" si="32"/>
        <v>//</v>
      </c>
      <c r="B127" s="42">
        <f t="shared" si="31"/>
        <v>0</v>
      </c>
      <c r="C127" s="42">
        <f t="shared" si="31"/>
        <v>0</v>
      </c>
      <c r="D127" s="42">
        <f t="shared" si="31"/>
        <v>0</v>
      </c>
      <c r="E127" s="42">
        <f t="shared" si="31"/>
        <v>0</v>
      </c>
      <c r="F127" s="42">
        <f t="shared" si="31"/>
        <v>0</v>
      </c>
    </row>
    <row r="128" spans="1:6" ht="16.5" hidden="1" customHeight="1">
      <c r="A128" s="3" t="str">
        <f t="shared" si="32"/>
        <v>//</v>
      </c>
      <c r="B128" s="42">
        <f t="shared" si="31"/>
        <v>0</v>
      </c>
      <c r="C128" s="42">
        <f t="shared" si="31"/>
        <v>0</v>
      </c>
      <c r="D128" s="42">
        <f t="shared" si="31"/>
        <v>0</v>
      </c>
      <c r="E128" s="42">
        <f t="shared" si="31"/>
        <v>0</v>
      </c>
      <c r="F128" s="42">
        <f t="shared" si="31"/>
        <v>0</v>
      </c>
    </row>
    <row r="129" spans="1:6" ht="16.5" hidden="1" customHeight="1">
      <c r="A129" s="3" t="str">
        <f t="shared" si="32"/>
        <v>//</v>
      </c>
      <c r="B129" s="42">
        <f t="shared" si="31"/>
        <v>0</v>
      </c>
      <c r="C129" s="42">
        <f t="shared" si="31"/>
        <v>0</v>
      </c>
      <c r="D129" s="42">
        <f t="shared" si="31"/>
        <v>0</v>
      </c>
      <c r="E129" s="42">
        <f t="shared" si="31"/>
        <v>0</v>
      </c>
      <c r="F129" s="42">
        <f t="shared" si="31"/>
        <v>0</v>
      </c>
    </row>
    <row r="130" spans="1:6" ht="16.5" hidden="1" customHeight="1">
      <c r="A130" s="3" t="str">
        <f t="shared" si="32"/>
        <v>//</v>
      </c>
      <c r="B130" s="42">
        <f t="shared" si="31"/>
        <v>0</v>
      </c>
      <c r="C130" s="42">
        <f t="shared" si="31"/>
        <v>0</v>
      </c>
      <c r="D130" s="42">
        <f t="shared" si="31"/>
        <v>0</v>
      </c>
      <c r="E130" s="42">
        <f t="shared" si="31"/>
        <v>0</v>
      </c>
      <c r="F130" s="42">
        <f t="shared" si="31"/>
        <v>0</v>
      </c>
    </row>
    <row r="131" spans="1:6" ht="16.5" hidden="1" customHeight="1">
      <c r="A131" s="3" t="str">
        <f t="shared" si="32"/>
        <v>//</v>
      </c>
      <c r="B131" s="42">
        <f t="shared" si="31"/>
        <v>0</v>
      </c>
      <c r="C131" s="42">
        <f t="shared" si="31"/>
        <v>0</v>
      </c>
      <c r="D131" s="42">
        <f t="shared" si="31"/>
        <v>0</v>
      </c>
      <c r="E131" s="42">
        <f t="shared" si="31"/>
        <v>0</v>
      </c>
      <c r="F131" s="42">
        <f t="shared" si="31"/>
        <v>0</v>
      </c>
    </row>
    <row r="132" spans="1:6" ht="16.5" hidden="1" customHeight="1">
      <c r="A132" s="3" t="str">
        <f t="shared" si="32"/>
        <v>//</v>
      </c>
      <c r="B132" s="42">
        <f t="shared" si="31"/>
        <v>0</v>
      </c>
      <c r="C132" s="42">
        <f t="shared" si="31"/>
        <v>0</v>
      </c>
      <c r="D132" s="42">
        <f t="shared" si="31"/>
        <v>0</v>
      </c>
      <c r="E132" s="42">
        <f t="shared" si="31"/>
        <v>0</v>
      </c>
      <c r="F132" s="42">
        <f t="shared" si="31"/>
        <v>0</v>
      </c>
    </row>
    <row r="133" spans="1:6" ht="16.5" hidden="1" customHeight="1">
      <c r="A133" s="3" t="str">
        <f t="shared" si="32"/>
        <v>//</v>
      </c>
      <c r="B133" s="42">
        <f t="shared" si="31"/>
        <v>0</v>
      </c>
      <c r="C133" s="42">
        <f t="shared" si="31"/>
        <v>0</v>
      </c>
      <c r="D133" s="42">
        <f t="shared" si="31"/>
        <v>0</v>
      </c>
      <c r="E133" s="42">
        <f t="shared" si="31"/>
        <v>0</v>
      </c>
      <c r="F133" s="42">
        <f t="shared" si="31"/>
        <v>0</v>
      </c>
    </row>
    <row r="134" spans="1:6" ht="16.5" customHeight="1" thickBot="1">
      <c r="A134" s="293" t="s">
        <v>80</v>
      </c>
      <c r="B134" s="295" t="s">
        <v>26</v>
      </c>
      <c r="C134" s="295" t="s">
        <v>26</v>
      </c>
      <c r="D134" s="295" t="s">
        <v>26</v>
      </c>
      <c r="E134" s="295" t="s">
        <v>26</v>
      </c>
      <c r="F134" s="295" t="s">
        <v>26</v>
      </c>
    </row>
    <row r="135" spans="1:6" ht="16.5" customHeight="1" thickTop="1"/>
    <row r="136" spans="1:6" ht="16.5" customHeight="1" thickBot="1">
      <c r="A136" s="283" t="s">
        <v>82</v>
      </c>
      <c r="B136" s="544">
        <f>B121</f>
        <v>2025</v>
      </c>
      <c r="C136" s="544">
        <f>C121</f>
        <v>2026</v>
      </c>
      <c r="D136" s="544">
        <f>D121</f>
        <v>2027</v>
      </c>
      <c r="E136" s="544">
        <f>E121</f>
        <v>2028</v>
      </c>
      <c r="F136" s="544">
        <f>F121</f>
        <v>2029</v>
      </c>
    </row>
    <row r="137" spans="1:6" ht="16.5" customHeight="1" thickTop="1">
      <c r="A137" s="3" t="s">
        <v>83</v>
      </c>
      <c r="B137" s="265">
        <f>'Controll Panel'!B26</f>
        <v>0.1</v>
      </c>
      <c r="C137" s="265">
        <f>'Controll Panel'!C26</f>
        <v>0.1</v>
      </c>
      <c r="D137" s="265">
        <f>'Controll Panel'!D26</f>
        <v>0.1</v>
      </c>
      <c r="E137" s="265">
        <f>'Controll Panel'!E26</f>
        <v>0.1</v>
      </c>
      <c r="F137" s="265">
        <f>'Controll Panel'!F26</f>
        <v>0.1</v>
      </c>
    </row>
    <row r="138" spans="1:6" ht="16.5" customHeight="1" thickBot="1">
      <c r="A138" s="293" t="s">
        <v>80</v>
      </c>
      <c r="B138" s="295">
        <f>(B107+B108)*B137</f>
        <v>62376.363636363625</v>
      </c>
      <c r="C138" s="295">
        <f>(C107+C108)*C137</f>
        <v>67134.174545454545</v>
      </c>
      <c r="D138" s="295">
        <f>(D107+D108)*D137</f>
        <v>72057.347345454546</v>
      </c>
      <c r="E138" s="295">
        <f>(E107+E108)*E137</f>
        <v>77150.593387636356</v>
      </c>
      <c r="F138" s="295">
        <f>(F107+F108)*F137</f>
        <v>82418.746332567287</v>
      </c>
    </row>
    <row r="139" spans="1:6" ht="16.5" customHeight="1" thickTop="1"/>
    <row r="140" spans="1:6" ht="16.5" customHeight="1" thickBot="1">
      <c r="A140" s="283" t="s">
        <v>84</v>
      </c>
      <c r="B140" s="544">
        <f>B136</f>
        <v>2025</v>
      </c>
      <c r="C140" s="544">
        <f>C136</f>
        <v>2026</v>
      </c>
      <c r="D140" s="544">
        <f>D136</f>
        <v>2027</v>
      </c>
      <c r="E140" s="544">
        <f>E136</f>
        <v>2028</v>
      </c>
      <c r="F140" s="544">
        <f>F136</f>
        <v>2029</v>
      </c>
    </row>
    <row r="141" spans="1:6" ht="16.5" customHeight="1" thickTop="1">
      <c r="A141" s="3" t="s">
        <v>85</v>
      </c>
      <c r="B141" s="42">
        <f>B119+B138</f>
        <v>815856.36363636353</v>
      </c>
      <c r="C141" s="42">
        <f>C119+C138</f>
        <v>875511.99272727268</v>
      </c>
      <c r="D141" s="42">
        <f>D119+D138</f>
        <v>937227.50443636347</v>
      </c>
      <c r="E141" s="42">
        <f>E119+E138</f>
        <v>1001061.4318167273</v>
      </c>
      <c r="F141" s="42">
        <f>F119+F138</f>
        <v>1067073.8252905309</v>
      </c>
    </row>
    <row r="142" spans="1:6" ht="16.5" customHeight="1" thickBot="1">
      <c r="A142" s="293" t="s">
        <v>80</v>
      </c>
      <c r="B142" s="295">
        <f>B141</f>
        <v>815856.36363636353</v>
      </c>
      <c r="C142" s="295">
        <f>C141</f>
        <v>875511.99272727268</v>
      </c>
      <c r="D142" s="295">
        <f>D141</f>
        <v>937227.50443636347</v>
      </c>
      <c r="E142" s="295">
        <f>E141</f>
        <v>1001061.4318167273</v>
      </c>
      <c r="F142" s="295">
        <f>F141</f>
        <v>1067073.8252905309</v>
      </c>
    </row>
    <row r="143" spans="1:6" ht="16.5" customHeight="1" thickTop="1"/>
  </sheetData>
  <sheetProtection algorithmName="SHA-512" hashValue="466L7LLLRoBNJRTJh2/lADZ6flCmAM48i4jEXY57d5jUrTm6p1FTq50z+7ACjXEPETmqxXNoRNJdck4RNNrD9Q==" saltValue="9rdEJgnRvVWZu68/MpXU9A==" spinCount="100000" sheet="1" selectLockedCells="1"/>
  <mergeCells count="3">
    <mergeCell ref="A1:F1"/>
    <mergeCell ref="A2:F2"/>
    <mergeCell ref="A3:F3"/>
  </mergeCells>
  <printOptions horizontalCentered="1"/>
  <pageMargins left="0.23622047244094491" right="0.23622047244094491" top="0.39370078740157483" bottom="0.39370078740157483" header="0" footer="0"/>
  <pageSetup paperSize="9" scale="70" fitToHeight="3" orientation="landscape" r:id="rId1"/>
  <rowBreaks count="3" manualBreakCount="3">
    <brk id="40" max="16383" man="1"/>
    <brk id="75" max="16383" man="1"/>
    <brk id="8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2"/>
  <dimension ref="A1:R504"/>
  <sheetViews>
    <sheetView zoomScaleNormal="100" workbookViewId="0">
      <selection activeCell="A6" sqref="A6"/>
    </sheetView>
  </sheetViews>
  <sheetFormatPr defaultColWidth="9" defaultRowHeight="24" customHeight="1"/>
  <cols>
    <col min="1" max="1" width="61.5703125" style="66" bestFit="1" customWidth="1"/>
    <col min="2" max="14" width="16" style="1" customWidth="1"/>
    <col min="15" max="15" width="14.42578125" style="1" bestFit="1" customWidth="1"/>
    <col min="16" max="16" width="9" style="1"/>
    <col min="17" max="17" width="13.28515625" style="1" bestFit="1" customWidth="1"/>
    <col min="18" max="16384" width="9" style="1"/>
  </cols>
  <sheetData>
    <row r="1" spans="1:18" s="3" customFormat="1" ht="30" customHeight="1">
      <c r="A1" s="557" t="str">
        <f>Menù!D3</f>
        <v>Trovato 1929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</row>
    <row r="2" spans="1:18" s="3" customFormat="1" ht="43.5" customHeight="1">
      <c r="A2" s="555" t="str">
        <f>Menù!A2</f>
        <v>Budget e Business Plan</v>
      </c>
      <c r="B2" s="555"/>
      <c r="C2" s="555"/>
      <c r="D2" s="555"/>
      <c r="E2" s="555"/>
      <c r="F2" s="555"/>
      <c r="G2" s="555"/>
      <c r="H2" s="555"/>
      <c r="I2" s="555"/>
      <c r="J2" s="555"/>
      <c r="K2" s="555"/>
      <c r="L2" s="555"/>
      <c r="M2" s="555"/>
      <c r="N2" s="555"/>
      <c r="O2" s="555"/>
    </row>
    <row r="3" spans="1:18" s="3" customFormat="1" ht="15" customHeight="1">
      <c r="A3" s="263"/>
      <c r="B3" s="536" t="s">
        <v>86</v>
      </c>
      <c r="C3" s="263"/>
      <c r="D3" s="263"/>
      <c r="E3" s="556" t="s">
        <v>87</v>
      </c>
      <c r="F3" s="556"/>
      <c r="G3" s="556"/>
      <c r="H3" s="556"/>
      <c r="I3" s="263"/>
      <c r="J3" s="263"/>
      <c r="K3" s="556" t="s">
        <v>88</v>
      </c>
      <c r="L3" s="556"/>
      <c r="M3" s="559" t="s">
        <v>89</v>
      </c>
      <c r="N3" s="559"/>
      <c r="O3" s="559"/>
    </row>
    <row r="4" spans="1:18" s="3" customFormat="1" ht="10.5" customHeight="1">
      <c r="A4" s="205"/>
      <c r="B4" s="205"/>
      <c r="C4" s="205"/>
      <c r="D4" s="205"/>
      <c r="E4" s="205"/>
      <c r="F4" s="205"/>
    </row>
    <row r="5" spans="1:18" s="3" customFormat="1" ht="16.5" customHeight="1" thickBot="1">
      <c r="A5" s="264" t="s">
        <v>90</v>
      </c>
      <c r="B5" s="264" t="s">
        <v>91</v>
      </c>
      <c r="C5" s="264" t="s">
        <v>92</v>
      </c>
      <c r="D5" s="264" t="s">
        <v>93</v>
      </c>
      <c r="E5" s="264" t="s">
        <v>94</v>
      </c>
      <c r="F5" s="264" t="s">
        <v>95</v>
      </c>
      <c r="G5" s="264" t="s">
        <v>96</v>
      </c>
      <c r="H5" s="264" t="s">
        <v>97</v>
      </c>
      <c r="I5" s="264" t="s">
        <v>98</v>
      </c>
      <c r="J5" s="264" t="s">
        <v>99</v>
      </c>
      <c r="K5" s="264" t="s">
        <v>100</v>
      </c>
      <c r="L5" s="264" t="s">
        <v>101</v>
      </c>
      <c r="M5" s="264" t="s">
        <v>102</v>
      </c>
      <c r="N5" s="264" t="s">
        <v>103</v>
      </c>
      <c r="O5" s="264" t="s">
        <v>104</v>
      </c>
    </row>
    <row r="6" spans="1:18" ht="16.5" customHeight="1" thickTop="1">
      <c r="A6" s="548">
        <f>Menù!K3-1</f>
        <v>2024</v>
      </c>
      <c r="B6" s="265">
        <v>7.8086276332784338E-2</v>
      </c>
      <c r="C6" s="265">
        <v>7.5844658533251424E-2</v>
      </c>
      <c r="D6" s="265">
        <v>8.4605063941314895E-2</v>
      </c>
      <c r="E6" s="265">
        <v>8.3665833408684248E-2</v>
      </c>
      <c r="F6" s="265">
        <v>8.7751491929081549E-2</v>
      </c>
      <c r="G6" s="265">
        <v>8.9653130405203382E-2</v>
      </c>
      <c r="H6" s="265">
        <v>9.9258962352234997E-2</v>
      </c>
      <c r="I6" s="265">
        <v>9.7075092023624812E-2</v>
      </c>
      <c r="J6" s="265">
        <v>8.1999006130378832E-2</v>
      </c>
      <c r="K6" s="265">
        <v>8.086341993797598E-2</v>
      </c>
      <c r="L6" s="265">
        <v>6.9006017664323974E-2</v>
      </c>
      <c r="M6" s="265">
        <v>7.2191047341141415E-2</v>
      </c>
      <c r="N6" s="266">
        <f>SUM(B6:M6)</f>
        <v>1</v>
      </c>
      <c r="O6" s="542" t="str">
        <f>IF(N6=100%,"Ok","Da verificare")</f>
        <v>Ok</v>
      </c>
      <c r="Q6" s="267"/>
    </row>
    <row r="7" spans="1:18" ht="16.5" customHeight="1">
      <c r="A7" s="548">
        <f>A6-1</f>
        <v>2023</v>
      </c>
      <c r="B7" s="265">
        <v>7.8086276332784338E-2</v>
      </c>
      <c r="C7" s="265">
        <v>7.5844658533251424E-2</v>
      </c>
      <c r="D7" s="265">
        <v>8.4605063941314895E-2</v>
      </c>
      <c r="E7" s="265">
        <v>8.3665833408684248E-2</v>
      </c>
      <c r="F7" s="265">
        <v>8.7751491929081549E-2</v>
      </c>
      <c r="G7" s="265">
        <v>8.9653130405203382E-2</v>
      </c>
      <c r="H7" s="265">
        <v>9.9258962352234997E-2</v>
      </c>
      <c r="I7" s="265">
        <v>9.7075092023624812E-2</v>
      </c>
      <c r="J7" s="265">
        <v>8.1999006130378832E-2</v>
      </c>
      <c r="K7" s="265">
        <v>8.086341993797598E-2</v>
      </c>
      <c r="L7" s="265">
        <v>6.9006017664323974E-2</v>
      </c>
      <c r="M7" s="265">
        <v>7.2191047341141415E-2</v>
      </c>
      <c r="N7" s="266">
        <f>SUM(B7:M7)</f>
        <v>1</v>
      </c>
      <c r="O7" s="542" t="str">
        <f>IF(N7=100%,"Ok","Da verificare")</f>
        <v>Ok</v>
      </c>
    </row>
    <row r="8" spans="1:18" ht="16.5" customHeight="1">
      <c r="A8" s="548">
        <f>A7-1</f>
        <v>2022</v>
      </c>
      <c r="B8" s="265">
        <v>7.8086276332784338E-2</v>
      </c>
      <c r="C8" s="265">
        <v>7.5844658533251424E-2</v>
      </c>
      <c r="D8" s="265">
        <v>8.4605063941314895E-2</v>
      </c>
      <c r="E8" s="265">
        <v>8.3665833408684248E-2</v>
      </c>
      <c r="F8" s="265">
        <v>8.7751491929081549E-2</v>
      </c>
      <c r="G8" s="265">
        <v>8.9653130405203382E-2</v>
      </c>
      <c r="H8" s="265">
        <v>9.9258962352234997E-2</v>
      </c>
      <c r="I8" s="265">
        <v>9.7075092023624812E-2</v>
      </c>
      <c r="J8" s="265">
        <v>8.1999006130378832E-2</v>
      </c>
      <c r="K8" s="265">
        <v>8.086341993797598E-2</v>
      </c>
      <c r="L8" s="265">
        <v>6.9006017664323974E-2</v>
      </c>
      <c r="M8" s="265">
        <v>7.2191047341141415E-2</v>
      </c>
      <c r="N8" s="266">
        <f>SUM(B8:M8)</f>
        <v>1</v>
      </c>
      <c r="O8" s="542" t="str">
        <f>IF(N8=100%,"Ok","Da verificare")</f>
        <v>Ok</v>
      </c>
    </row>
    <row r="9" spans="1:18" ht="16.5" customHeight="1">
      <c r="A9" s="548">
        <f>A8-1</f>
        <v>2021</v>
      </c>
      <c r="B9" s="265">
        <v>7.8086276332784338E-2</v>
      </c>
      <c r="C9" s="265">
        <v>7.5844658533251424E-2</v>
      </c>
      <c r="D9" s="265">
        <v>8.4605063941314895E-2</v>
      </c>
      <c r="E9" s="265">
        <v>8.3665833408684248E-2</v>
      </c>
      <c r="F9" s="265">
        <v>8.7751491929081549E-2</v>
      </c>
      <c r="G9" s="265">
        <v>8.9653130405203382E-2</v>
      </c>
      <c r="H9" s="265">
        <v>9.9258962352234997E-2</v>
      </c>
      <c r="I9" s="265">
        <v>9.7075092023624812E-2</v>
      </c>
      <c r="J9" s="265">
        <v>8.1999006130378832E-2</v>
      </c>
      <c r="K9" s="265">
        <v>8.086341993797598E-2</v>
      </c>
      <c r="L9" s="265">
        <v>6.9006017664323974E-2</v>
      </c>
      <c r="M9" s="265">
        <v>7.2191047341141415E-2</v>
      </c>
      <c r="N9" s="266">
        <f>SUM(B9:M9)</f>
        <v>1</v>
      </c>
      <c r="O9" s="542" t="str">
        <f>IF(N9=100%,"Ok","Da verificare")</f>
        <v>Ok</v>
      </c>
    </row>
    <row r="10" spans="1:18" ht="16.5" customHeight="1">
      <c r="A10" s="268" t="s">
        <v>105</v>
      </c>
      <c r="B10" s="269">
        <f>AVERAGE(B6:B9)</f>
        <v>7.8086276332784338E-2</v>
      </c>
      <c r="C10" s="269">
        <f t="shared" ref="C10:M10" si="0">AVERAGE(C6:C9)</f>
        <v>7.5844658533251424E-2</v>
      </c>
      <c r="D10" s="269">
        <f t="shared" si="0"/>
        <v>8.4605063941314895E-2</v>
      </c>
      <c r="E10" s="269">
        <f t="shared" si="0"/>
        <v>8.3665833408684248E-2</v>
      </c>
      <c r="F10" s="269">
        <f t="shared" si="0"/>
        <v>8.7751491929081549E-2</v>
      </c>
      <c r="G10" s="269">
        <f t="shared" si="0"/>
        <v>8.9653130405203382E-2</v>
      </c>
      <c r="H10" s="269">
        <f t="shared" si="0"/>
        <v>9.9258962352234997E-2</v>
      </c>
      <c r="I10" s="269">
        <f t="shared" si="0"/>
        <v>9.7075092023624812E-2</v>
      </c>
      <c r="J10" s="269">
        <f t="shared" si="0"/>
        <v>8.1999006130378832E-2</v>
      </c>
      <c r="K10" s="269">
        <f t="shared" si="0"/>
        <v>8.086341993797598E-2</v>
      </c>
      <c r="L10" s="269">
        <f t="shared" si="0"/>
        <v>6.9006017664323974E-2</v>
      </c>
      <c r="M10" s="269">
        <f t="shared" si="0"/>
        <v>7.2191047341141415E-2</v>
      </c>
      <c r="N10" s="269">
        <f>SUM(B10:M10)</f>
        <v>1</v>
      </c>
      <c r="O10" s="228" t="str">
        <f>IF(N10=100%,"Ok","Da verificare")</f>
        <v>Ok</v>
      </c>
    </row>
    <row r="11" spans="1:18" ht="16.5" customHeight="1" thickBot="1">
      <c r="A11" s="270" t="s">
        <v>106</v>
      </c>
      <c r="B11" s="271">
        <f>VAR(B6:B9)</f>
        <v>0</v>
      </c>
      <c r="C11" s="271">
        <f t="shared" ref="C11:N11" si="1">VAR(C6:C9)</f>
        <v>0</v>
      </c>
      <c r="D11" s="271">
        <f t="shared" si="1"/>
        <v>0</v>
      </c>
      <c r="E11" s="271">
        <f t="shared" si="1"/>
        <v>0</v>
      </c>
      <c r="F11" s="271">
        <f t="shared" si="1"/>
        <v>0</v>
      </c>
      <c r="G11" s="271">
        <f t="shared" si="1"/>
        <v>0</v>
      </c>
      <c r="H11" s="271">
        <f t="shared" si="1"/>
        <v>0</v>
      </c>
      <c r="I11" s="271">
        <f t="shared" si="1"/>
        <v>0</v>
      </c>
      <c r="J11" s="271">
        <f t="shared" si="1"/>
        <v>0</v>
      </c>
      <c r="K11" s="271">
        <f t="shared" si="1"/>
        <v>0</v>
      </c>
      <c r="L11" s="271">
        <f t="shared" si="1"/>
        <v>0</v>
      </c>
      <c r="M11" s="271">
        <f t="shared" si="1"/>
        <v>0</v>
      </c>
      <c r="N11" s="272">
        <f t="shared" si="1"/>
        <v>0</v>
      </c>
      <c r="O11" s="270" t="s">
        <v>26</v>
      </c>
      <c r="R11" s="273"/>
    </row>
    <row r="12" spans="1:18" ht="16.5" customHeight="1" thickTop="1">
      <c r="A12" s="274"/>
      <c r="B12" s="275"/>
      <c r="C12" s="42"/>
      <c r="D12" s="42"/>
      <c r="E12" s="42"/>
      <c r="F12" s="42"/>
      <c r="G12" s="542"/>
      <c r="H12" s="542"/>
      <c r="I12" s="542"/>
      <c r="J12" s="542"/>
      <c r="K12" s="542"/>
      <c r="L12" s="542"/>
      <c r="M12" s="542"/>
      <c r="N12" s="542"/>
      <c r="O12" s="542"/>
      <c r="R12" s="273"/>
    </row>
    <row r="13" spans="1:18" ht="16.5" customHeight="1" thickBot="1">
      <c r="A13" s="264">
        <f>'W Plur.'!B5</f>
        <v>2025</v>
      </c>
      <c r="B13" s="264" t="str">
        <f t="shared" ref="B13:N13" si="2">B5</f>
        <v>January</v>
      </c>
      <c r="C13" s="264" t="str">
        <f t="shared" si="2"/>
        <v>February</v>
      </c>
      <c r="D13" s="264" t="str">
        <f t="shared" si="2"/>
        <v>March</v>
      </c>
      <c r="E13" s="264" t="str">
        <f t="shared" si="2"/>
        <v>April</v>
      </c>
      <c r="F13" s="264" t="str">
        <f t="shared" si="2"/>
        <v>May</v>
      </c>
      <c r="G13" s="264" t="str">
        <f t="shared" si="2"/>
        <v>June</v>
      </c>
      <c r="H13" s="264" t="str">
        <f t="shared" si="2"/>
        <v>July</v>
      </c>
      <c r="I13" s="264" t="str">
        <f t="shared" si="2"/>
        <v>August</v>
      </c>
      <c r="J13" s="264" t="str">
        <f t="shared" si="2"/>
        <v>September</v>
      </c>
      <c r="K13" s="264" t="str">
        <f t="shared" si="2"/>
        <v>October</v>
      </c>
      <c r="L13" s="264" t="str">
        <f t="shared" si="2"/>
        <v>November</v>
      </c>
      <c r="M13" s="264" t="str">
        <f t="shared" si="2"/>
        <v>December</v>
      </c>
      <c r="N13" s="264" t="str">
        <f t="shared" si="2"/>
        <v>Sum</v>
      </c>
      <c r="O13" s="264" t="s">
        <v>7</v>
      </c>
      <c r="R13" s="273"/>
    </row>
    <row r="14" spans="1:18" ht="16.5" customHeight="1" thickTop="1">
      <c r="A14" s="548" t="str">
        <f>'W Plur.'!A107</f>
        <v>Revenues before lunch</v>
      </c>
      <c r="B14" s="141">
        <f>IF($M$3="Quantità vendute",'W Plur.'!$B92*'W. Month'!B$10,IF($M$3="Ricavi Generati",'W Plur.'!$B107*'W. Month'!B$10))</f>
        <v>28552.601878702284</v>
      </c>
      <c r="C14" s="141">
        <f>IF($M$3="Quantità vendute",'W Plur.'!$B92*'W. Month'!C$10,IF($M$3="Ricavi Generati",'W Plur.'!$B107*'W. Month'!C$10))</f>
        <v>27732.944141131258</v>
      </c>
      <c r="D14" s="141">
        <f>IF($M$3="Quantità vendute",'W Plur.'!$B92*'W. Month'!D$10,IF($M$3="Ricavi Generati",'W Plur.'!$B107*'W. Month'!D$10))</f>
        <v>30936.226198614248</v>
      </c>
      <c r="E14" s="141">
        <f>IF($M$3="Quantità vendute",'W Plur.'!$B92*'W. Month'!E$10,IF($M$3="Ricavi Generati",'W Plur.'!$B107*'W. Month'!E$10))</f>
        <v>30592.792285128158</v>
      </c>
      <c r="F14" s="141">
        <f>IF($M$3="Quantità vendute",'W Plur.'!$B92*'W. Month'!F$10,IF($M$3="Ricavi Generati",'W Plur.'!$B107*'W. Month'!F$10))</f>
        <v>32086.731894286524</v>
      </c>
      <c r="G14" s="141">
        <f>IF($M$3="Quantità vendute",'W Plur.'!$B92*'W. Month'!G$10,IF($M$3="Ricavi Generati",'W Plur.'!$B107*'W. Month'!G$10))</f>
        <v>32782.074646891728</v>
      </c>
      <c r="H14" s="141">
        <f>IF($M$3="Quantità vendute",'W Plur.'!$B92*'W. Month'!H$10,IF($M$3="Ricavi Generati",'W Plur.'!$B107*'W. Month'!H$10))</f>
        <v>36294.490761196321</v>
      </c>
      <c r="I14" s="141">
        <f>IF($M$3="Quantità vendute",'W Plur.'!$B92*'W. Month'!I$10,IF($M$3="Ricavi Generati",'W Plur.'!$B107*'W. Month'!I$10))</f>
        <v>35495.948648856698</v>
      </c>
      <c r="J14" s="141">
        <f>IF($M$3="Quantità vendute",'W Plur.'!$B92*'W. Month'!J$10,IF($M$3="Ricavi Generati",'W Plur.'!$B107*'W. Month'!J$10))</f>
        <v>29983.309314328155</v>
      </c>
      <c r="K14" s="141">
        <f>IF($M$3="Quantità vendute",'W Plur.'!$B92*'W. Month'!K$10,IF($M$3="Ricavi Generati",'W Plur.'!$B107*'W. Month'!K$10))</f>
        <v>29568.077061320633</v>
      </c>
      <c r="L14" s="141">
        <f>IF($M$3="Quantità vendute",'W Plur.'!$B92*'W. Month'!L$10,IF($M$3="Ricavi Generati",'W Plur.'!$B107*'W. Month'!L$10))</f>
        <v>25232.364022676713</v>
      </c>
      <c r="M14" s="141">
        <f>IF($M$3="Quantità vendute",'W Plur.'!$B92*'W. Month'!M$10,IF($M$3="Ricavi Generati",'W Plur.'!$B107*'W. Month'!M$10))</f>
        <v>26396.984601412634</v>
      </c>
      <c r="N14" s="152">
        <f>SUM(B14:M14)</f>
        <v>365654.54545454535</v>
      </c>
      <c r="O14" s="276">
        <f>'Controll Panel'!B7</f>
        <v>0</v>
      </c>
      <c r="R14" s="273"/>
    </row>
    <row r="15" spans="1:18" ht="16.5" customHeight="1">
      <c r="A15" s="548" t="str">
        <f>'W Plur.'!A108</f>
        <v>Revenues during lunch</v>
      </c>
      <c r="B15" s="141">
        <f>IF($M$3="Quantità vendute",'W Plur.'!$B93*'W. Month'!B$10,IF($M$3="Ricavi Generati",'W Plur.'!$B108*'W. Month'!B$10))</f>
        <v>20154.777796731025</v>
      </c>
      <c r="C15" s="141">
        <f>IF($M$3="Quantità vendute",'W Plur.'!$B93*'W. Month'!C$10,IF($M$3="Ricavi Generati",'W Plur.'!$B108*'W. Month'!C$10))</f>
        <v>19576.195864327947</v>
      </c>
      <c r="D15" s="141">
        <f>IF($M$3="Quantità vendute",'W Plur.'!$B93*'W. Month'!D$10,IF($M$3="Ricavi Generati",'W Plur.'!$B108*'W. Month'!D$10))</f>
        <v>21837.336140198295</v>
      </c>
      <c r="E15" s="141">
        <f>IF($M$3="Quantità vendute",'W Plur.'!$B93*'W. Month'!E$10,IF($M$3="Ricavi Generati",'W Plur.'!$B108*'W. Month'!E$10))</f>
        <v>21594.912201266936</v>
      </c>
      <c r="F15" s="141">
        <f>IF($M$3="Quantità vendute",'W Plur.'!$B93*'W. Month'!F$10,IF($M$3="Ricavi Generati",'W Plur.'!$B108*'W. Month'!F$10))</f>
        <v>22649.457807731666</v>
      </c>
      <c r="G15" s="141">
        <f>IF($M$3="Quantità vendute",'W Plur.'!$B93*'W. Month'!G$10,IF($M$3="Ricavi Generati",'W Plur.'!$B108*'W. Month'!G$10))</f>
        <v>23140.287986041221</v>
      </c>
      <c r="H15" s="141">
        <f>IF($M$3="Quantità vendute",'W Plur.'!$B93*'W. Month'!H$10,IF($M$3="Ricavi Generati",'W Plur.'!$B108*'W. Month'!H$10))</f>
        <v>25619.640537315052</v>
      </c>
      <c r="I15" s="141">
        <f>IF($M$3="Quantità vendute",'W Plur.'!$B93*'W. Month'!I$10,IF($M$3="Ricavi Generati",'W Plur.'!$B108*'W. Month'!I$10))</f>
        <v>25055.963752134139</v>
      </c>
      <c r="J15" s="141">
        <f>IF($M$3="Quantità vendute",'W Plur.'!$B93*'W. Month'!J$10,IF($M$3="Ricavi Generati",'W Plur.'!$B108*'W. Month'!J$10))</f>
        <v>21164.68892776105</v>
      </c>
      <c r="K15" s="141">
        <f>IF($M$3="Quantità vendute",'W Plur.'!$B93*'W. Month'!K$10,IF($M$3="Ricavi Generati",'W Plur.'!$B108*'W. Month'!K$10))</f>
        <v>20871.583807991035</v>
      </c>
      <c r="L15" s="141">
        <f>IF($M$3="Quantità vendute",'W Plur.'!$B93*'W. Month'!L$10,IF($M$3="Ricavi Generati",'W Plur.'!$B108*'W. Month'!L$10))</f>
        <v>17811.080486595329</v>
      </c>
      <c r="M15" s="141">
        <f>IF($M$3="Quantità vendute",'W Plur.'!$B93*'W. Month'!M$10,IF($M$3="Ricavi Generati",'W Plur.'!$B108*'W. Month'!M$10))</f>
        <v>18633.165600997152</v>
      </c>
      <c r="N15" s="152">
        <f>SUM(B15:M15)</f>
        <v>258109.09090909088</v>
      </c>
      <c r="O15" s="276">
        <f>O14</f>
        <v>0</v>
      </c>
    </row>
    <row r="16" spans="1:18" ht="16.5" customHeight="1">
      <c r="A16" s="548" t="str">
        <f>'W Plur.'!A109</f>
        <v>Revenues after lunch</v>
      </c>
      <c r="B16" s="141">
        <f>IF($M$3="Quantità vendute",'W Plur.'!$B94*'W. Month'!B$10,IF($M$3="Ricavi Generati",'W Plur.'!$B109*'W. Month'!B$10))</f>
        <v>7235.048439852163</v>
      </c>
      <c r="C16" s="141">
        <f>IF($M$3="Quantità vendute",'W Plur.'!$B94*'W. Month'!C$10,IF($M$3="Ricavi Generati",'W Plur.'!$B109*'W. Month'!C$10))</f>
        <v>7027.3523615536233</v>
      </c>
      <c r="D16" s="141">
        <f>IF($M$3="Quantità vendute",'W Plur.'!$B94*'W. Month'!D$10,IF($M$3="Ricavi Generati",'W Plur.'!$B109*'W. Month'!D$10))</f>
        <v>7839.0437426352855</v>
      </c>
      <c r="E16" s="141">
        <f>IF($M$3="Quantità vendute",'W Plur.'!$B94*'W. Month'!E$10,IF($M$3="Ricavi Generati",'W Plur.'!$B109*'W. Month'!E$10))</f>
        <v>7752.0197645573626</v>
      </c>
      <c r="F16" s="141">
        <f>IF($M$3="Quantità vendute",'W Plur.'!$B94*'W. Month'!F$10,IF($M$3="Ricavi Generati",'W Plur.'!$B109*'W. Month'!F$10))</f>
        <v>8130.5745976472654</v>
      </c>
      <c r="G16" s="141">
        <f>IF($M$3="Quantità vendute",'W Plur.'!$B94*'W. Month'!G$10,IF($M$3="Ricavi Generati",'W Plur.'!$B109*'W. Month'!G$10))</f>
        <v>8306.7700462712073</v>
      </c>
      <c r="H16" s="141">
        <f>IF($M$3="Quantità vendute",'W Plur.'!$B94*'W. Month'!H$10,IF($M$3="Ricavi Generati",'W Plur.'!$B109*'W. Month'!H$10))</f>
        <v>9196.7940390361746</v>
      </c>
      <c r="I16" s="141">
        <f>IF($M$3="Quantità vendute",'W Plur.'!$B94*'W. Month'!I$10,IF($M$3="Ricavi Generati",'W Plur.'!$B109*'W. Month'!I$10))</f>
        <v>8994.4485264071282</v>
      </c>
      <c r="J16" s="141">
        <f>IF($M$3="Quantità vendute",'W Plur.'!$B94*'W. Month'!J$10,IF($M$3="Ricavi Generati",'W Plur.'!$B109*'W. Month'!J$10))</f>
        <v>7597.5806407347372</v>
      </c>
      <c r="K16" s="141">
        <f>IF($M$3="Quantità vendute",'W Plur.'!$B94*'W. Month'!K$10,IF($M$3="Ricavi Generati",'W Plur.'!$B109*'W. Month'!K$10))</f>
        <v>7492.3634182531923</v>
      </c>
      <c r="L16" s="141">
        <f>IF($M$3="Quantità vendute",'W Plur.'!$B94*'W. Month'!L$10,IF($M$3="Ricavi Generati",'W Plur.'!$B109*'W. Month'!L$10))</f>
        <v>6393.7212003162722</v>
      </c>
      <c r="M16" s="141">
        <f>IF($M$3="Quantità vendute",'W Plur.'!$B94*'W. Month'!M$10,IF($M$3="Ricavi Generati",'W Plur.'!$B109*'W. Month'!M$10))</f>
        <v>6688.8286772810297</v>
      </c>
      <c r="N16" s="152">
        <f t="shared" ref="N16:N25" si="3">SUM(B16:M16)</f>
        <v>92654.545454545441</v>
      </c>
      <c r="O16" s="276">
        <f t="shared" ref="O16:O25" si="4">O15</f>
        <v>0</v>
      </c>
    </row>
    <row r="17" spans="1:15" ht="16.5" customHeight="1">
      <c r="A17" s="548" t="str">
        <f>'W Plur.'!A110</f>
        <v>Revenues during dinner</v>
      </c>
      <c r="B17" s="141">
        <f>IF($M$3="Quantità vendute",'W Plur.'!$B95*'W. Month'!B$10,IF($M$3="Ricavi Generati",'W Plur.'!$B110*'W. Month'!B$10))</f>
        <v>2894.0193759408653</v>
      </c>
      <c r="C17" s="141">
        <f>IF($M$3="Quantità vendute",'W Plur.'!$B95*'W. Month'!C$10,IF($M$3="Ricavi Generati",'W Plur.'!$B110*'W. Month'!C$10))</f>
        <v>2810.9409446214495</v>
      </c>
      <c r="D17" s="141">
        <f>IF($M$3="Quantità vendute",'W Plur.'!$B95*'W. Month'!D$10,IF($M$3="Ricavi Generati",'W Plur.'!$B110*'W. Month'!D$10))</f>
        <v>3135.6174970541142</v>
      </c>
      <c r="E17" s="141">
        <f>IF($M$3="Quantità vendute",'W Plur.'!$B95*'W. Month'!E$10,IF($M$3="Ricavi Generati",'W Plur.'!$B110*'W. Month'!E$10))</f>
        <v>3100.807905822945</v>
      </c>
      <c r="F17" s="141">
        <f>IF($M$3="Quantità vendute",'W Plur.'!$B95*'W. Month'!F$10,IF($M$3="Ricavi Generati",'W Plur.'!$B110*'W. Month'!F$10))</f>
        <v>3252.2298390589062</v>
      </c>
      <c r="G17" s="141">
        <f>IF($M$3="Quantità vendute",'W Plur.'!$B95*'W. Month'!G$10,IF($M$3="Ricavi Generati",'W Plur.'!$B110*'W. Month'!G$10))</f>
        <v>3322.7080185084833</v>
      </c>
      <c r="H17" s="141">
        <f>IF($M$3="Quantità vendute",'W Plur.'!$B95*'W. Month'!H$10,IF($M$3="Ricavi Generati",'W Plur.'!$B110*'W. Month'!H$10))</f>
        <v>3678.7176156144697</v>
      </c>
      <c r="I17" s="141">
        <f>IF($M$3="Quantità vendute",'W Plur.'!$B95*'W. Month'!I$10,IF($M$3="Ricavi Generati",'W Plur.'!$B110*'W. Month'!I$10))</f>
        <v>3597.7794105628514</v>
      </c>
      <c r="J17" s="141">
        <f>IF($M$3="Quantità vendute",'W Plur.'!$B95*'W. Month'!J$10,IF($M$3="Ricavi Generati",'W Plur.'!$B110*'W. Month'!J$10))</f>
        <v>3039.032256293895</v>
      </c>
      <c r="K17" s="141">
        <f>IF($M$3="Quantità vendute",'W Plur.'!$B95*'W. Month'!K$10,IF($M$3="Ricavi Generati",'W Plur.'!$B110*'W. Month'!K$10))</f>
        <v>2996.9453673012772</v>
      </c>
      <c r="L17" s="141">
        <f>IF($M$3="Quantità vendute",'W Plur.'!$B95*'W. Month'!L$10,IF($M$3="Ricavi Generati",'W Plur.'!$B110*'W. Month'!L$10))</f>
        <v>2557.4884801265089</v>
      </c>
      <c r="M17" s="141">
        <f>IF($M$3="Quantità vendute",'W Plur.'!$B95*'W. Month'!M$10,IF($M$3="Ricavi Generati",'W Plur.'!$B110*'W. Month'!M$10))</f>
        <v>2675.5314709124123</v>
      </c>
      <c r="N17" s="152">
        <f t="shared" si="3"/>
        <v>37061.818181818184</v>
      </c>
      <c r="O17" s="276">
        <f t="shared" si="4"/>
        <v>0</v>
      </c>
    </row>
    <row r="18" spans="1:15" ht="16.5" hidden="1" customHeight="1">
      <c r="A18" s="548" t="str">
        <f>'W Plur.'!A111</f>
        <v>//</v>
      </c>
      <c r="B18" s="141">
        <f>IF($M$3="Quantità vendute",'W Plur.'!$B96*'W. Month'!B$10,IF($M$3="Ricavi Generati",'W Plur.'!$B111*'W. Month'!B$10))</f>
        <v>0</v>
      </c>
      <c r="C18" s="141">
        <f>IF($M$3="Quantità vendute",'W Plur.'!$B96*'W. Month'!C$10,IF($M$3="Ricavi Generati",'W Plur.'!$B111*'W. Month'!C$10))</f>
        <v>0</v>
      </c>
      <c r="D18" s="141">
        <f>IF($M$3="Quantità vendute",'W Plur.'!$B96*'W. Month'!D$10,IF($M$3="Ricavi Generati",'W Plur.'!$B111*'W. Month'!D$10))</f>
        <v>0</v>
      </c>
      <c r="E18" s="141">
        <f>IF($M$3="Quantità vendute",'W Plur.'!$B96*'W. Month'!E$10,IF($M$3="Ricavi Generati",'W Plur.'!$B111*'W. Month'!E$10))</f>
        <v>0</v>
      </c>
      <c r="F18" s="141">
        <f>IF($M$3="Quantità vendute",'W Plur.'!$B96*'W. Month'!F$10,IF($M$3="Ricavi Generati",'W Plur.'!$B111*'W. Month'!F$10))</f>
        <v>0</v>
      </c>
      <c r="G18" s="141">
        <f>IF($M$3="Quantità vendute",'W Plur.'!$B96*'W. Month'!G$10,IF($M$3="Ricavi Generati",'W Plur.'!$B111*'W. Month'!G$10))</f>
        <v>0</v>
      </c>
      <c r="H18" s="141">
        <f>IF($M$3="Quantità vendute",'W Plur.'!$B96*'W. Month'!H$10,IF($M$3="Ricavi Generati",'W Plur.'!$B111*'W. Month'!H$10))</f>
        <v>0</v>
      </c>
      <c r="I18" s="141">
        <f>IF($M$3="Quantità vendute",'W Plur.'!$B96*'W. Month'!I$10,IF($M$3="Ricavi Generati",'W Plur.'!$B111*'W. Month'!I$10))</f>
        <v>0</v>
      </c>
      <c r="J18" s="141">
        <f>IF($M$3="Quantità vendute",'W Plur.'!$B96*'W. Month'!J$10,IF($M$3="Ricavi Generati",'W Plur.'!$B111*'W. Month'!J$10))</f>
        <v>0</v>
      </c>
      <c r="K18" s="141">
        <f>IF($M$3="Quantità vendute",'W Plur.'!$B96*'W. Month'!K$10,IF($M$3="Ricavi Generati",'W Plur.'!$B111*'W. Month'!K$10))</f>
        <v>0</v>
      </c>
      <c r="L18" s="141">
        <f>IF($M$3="Quantità vendute",'W Plur.'!$B96*'W. Month'!L$10,IF($M$3="Ricavi Generati",'W Plur.'!$B111*'W. Month'!L$10))</f>
        <v>0</v>
      </c>
      <c r="M18" s="141">
        <f>IF($M$3="Quantità vendute",'W Plur.'!$B96*'W. Month'!M$10,IF($M$3="Ricavi Generati",'W Plur.'!$B111*'W. Month'!M$10))</f>
        <v>0</v>
      </c>
      <c r="N18" s="152">
        <f t="shared" si="3"/>
        <v>0</v>
      </c>
      <c r="O18" s="276">
        <f t="shared" si="4"/>
        <v>0</v>
      </c>
    </row>
    <row r="19" spans="1:15" ht="16.5" hidden="1" customHeight="1">
      <c r="A19" s="548" t="str">
        <f>'W Plur.'!A112</f>
        <v>//</v>
      </c>
      <c r="B19" s="141">
        <f>IF($M$3="Quantità vendute",'W Plur.'!$B97*'W. Month'!B$10,IF($M$3="Ricavi Generati",'W Plur.'!$B112*'W. Month'!B$10))</f>
        <v>0</v>
      </c>
      <c r="C19" s="141">
        <f>IF($M$3="Quantità vendute",'W Plur.'!$B97*'W. Month'!C$10,IF($M$3="Ricavi Generati",'W Plur.'!$B112*'W. Month'!C$10))</f>
        <v>0</v>
      </c>
      <c r="D19" s="141">
        <f>IF($M$3="Quantità vendute",'W Plur.'!$B97*'W. Month'!D$10,IF($M$3="Ricavi Generati",'W Plur.'!$B112*'W. Month'!D$10))</f>
        <v>0</v>
      </c>
      <c r="E19" s="141">
        <f>IF($M$3="Quantità vendute",'W Plur.'!$B97*'W. Month'!E$10,IF($M$3="Ricavi Generati",'W Plur.'!$B112*'W. Month'!E$10))</f>
        <v>0</v>
      </c>
      <c r="F19" s="141">
        <f>IF($M$3="Quantità vendute",'W Plur.'!$B97*'W. Month'!F$10,IF($M$3="Ricavi Generati",'W Plur.'!$B112*'W. Month'!F$10))</f>
        <v>0</v>
      </c>
      <c r="G19" s="141">
        <f>IF($M$3="Quantità vendute",'W Plur.'!$B97*'W. Month'!G$10,IF($M$3="Ricavi Generati",'W Plur.'!$B112*'W. Month'!G$10))</f>
        <v>0</v>
      </c>
      <c r="H19" s="141">
        <f>IF($M$3="Quantità vendute",'W Plur.'!$B97*'W. Month'!H$10,IF($M$3="Ricavi Generati",'W Plur.'!$B112*'W. Month'!H$10))</f>
        <v>0</v>
      </c>
      <c r="I19" s="141">
        <f>IF($M$3="Quantità vendute",'W Plur.'!$B97*'W. Month'!I$10,IF($M$3="Ricavi Generati",'W Plur.'!$B112*'W. Month'!I$10))</f>
        <v>0</v>
      </c>
      <c r="J19" s="141">
        <f>IF($M$3="Quantità vendute",'W Plur.'!$B97*'W. Month'!J$10,IF($M$3="Ricavi Generati",'W Plur.'!$B112*'W. Month'!J$10))</f>
        <v>0</v>
      </c>
      <c r="K19" s="141">
        <f>IF($M$3="Quantità vendute",'W Plur.'!$B97*'W. Month'!K$10,IF($M$3="Ricavi Generati",'W Plur.'!$B112*'W. Month'!K$10))</f>
        <v>0</v>
      </c>
      <c r="L19" s="141">
        <f>IF($M$3="Quantità vendute",'W Plur.'!$B97*'W. Month'!L$10,IF($M$3="Ricavi Generati",'W Plur.'!$B112*'W. Month'!L$10))</f>
        <v>0</v>
      </c>
      <c r="M19" s="141">
        <f>IF($M$3="Quantità vendute",'W Plur.'!$B97*'W. Month'!M$10,IF($M$3="Ricavi Generati",'W Plur.'!$B112*'W. Month'!M$10))</f>
        <v>0</v>
      </c>
      <c r="N19" s="152">
        <f t="shared" si="3"/>
        <v>0</v>
      </c>
      <c r="O19" s="276">
        <f t="shared" si="4"/>
        <v>0</v>
      </c>
    </row>
    <row r="20" spans="1:15" ht="16.5" hidden="1" customHeight="1">
      <c r="A20" s="548" t="str">
        <f>'W Plur.'!A113</f>
        <v>//</v>
      </c>
      <c r="B20" s="141">
        <f>IF($M$3="Quantità vendute",'W Plur.'!$B98*'W. Month'!B$10,IF($M$3="Ricavi Generati",'W Plur.'!$B113*'W. Month'!B$10))</f>
        <v>0</v>
      </c>
      <c r="C20" s="141">
        <f>IF($M$3="Quantità vendute",'W Plur.'!$B98*'W. Month'!C$10,IF($M$3="Ricavi Generati",'W Plur.'!$B113*'W. Month'!C$10))</f>
        <v>0</v>
      </c>
      <c r="D20" s="141">
        <f>IF($M$3="Quantità vendute",'W Plur.'!$B98*'W. Month'!D$10,IF($M$3="Ricavi Generati",'W Plur.'!$B113*'W. Month'!D$10))</f>
        <v>0</v>
      </c>
      <c r="E20" s="141">
        <f>IF($M$3="Quantità vendute",'W Plur.'!$B98*'W. Month'!E$10,IF($M$3="Ricavi Generati",'W Plur.'!$B113*'W. Month'!E$10))</f>
        <v>0</v>
      </c>
      <c r="F20" s="141">
        <f>IF($M$3="Quantità vendute",'W Plur.'!$B98*'W. Month'!F$10,IF($M$3="Ricavi Generati",'W Plur.'!$B113*'W. Month'!F$10))</f>
        <v>0</v>
      </c>
      <c r="G20" s="141">
        <f>IF($M$3="Quantità vendute",'W Plur.'!$B98*'W. Month'!G$10,IF($M$3="Ricavi Generati",'W Plur.'!$B113*'W. Month'!G$10))</f>
        <v>0</v>
      </c>
      <c r="H20" s="141">
        <f>IF($M$3="Quantità vendute",'W Plur.'!$B98*'W. Month'!H$10,IF($M$3="Ricavi Generati",'W Plur.'!$B113*'W. Month'!H$10))</f>
        <v>0</v>
      </c>
      <c r="I20" s="141">
        <f>IF($M$3="Quantità vendute",'W Plur.'!$B98*'W. Month'!I$10,IF($M$3="Ricavi Generati",'W Plur.'!$B113*'W. Month'!I$10))</f>
        <v>0</v>
      </c>
      <c r="J20" s="141">
        <f>IF($M$3="Quantità vendute",'W Plur.'!$B98*'W. Month'!J$10,IF($M$3="Ricavi Generati",'W Plur.'!$B113*'W. Month'!J$10))</f>
        <v>0</v>
      </c>
      <c r="K20" s="141">
        <f>IF($M$3="Quantità vendute",'W Plur.'!$B98*'W. Month'!K$10,IF($M$3="Ricavi Generati",'W Plur.'!$B113*'W. Month'!K$10))</f>
        <v>0</v>
      </c>
      <c r="L20" s="141">
        <f>IF($M$3="Quantità vendute",'W Plur.'!$B98*'W. Month'!L$10,IF($M$3="Ricavi Generati",'W Plur.'!$B113*'W. Month'!L$10))</f>
        <v>0</v>
      </c>
      <c r="M20" s="141">
        <f>IF($M$3="Quantità vendute",'W Plur.'!$B98*'W. Month'!M$10,IF($M$3="Ricavi Generati",'W Plur.'!$B113*'W. Month'!M$10))</f>
        <v>0</v>
      </c>
      <c r="N20" s="152">
        <f t="shared" si="3"/>
        <v>0</v>
      </c>
      <c r="O20" s="276">
        <f t="shared" si="4"/>
        <v>0</v>
      </c>
    </row>
    <row r="21" spans="1:15" ht="16.5" hidden="1" customHeight="1">
      <c r="A21" s="548" t="str">
        <f>'W Plur.'!A114</f>
        <v>//</v>
      </c>
      <c r="B21" s="141">
        <f>IF($M$3="Quantità vendute",'W Plur.'!$B99*'W. Month'!B$10,IF($M$3="Ricavi Generati",'W Plur.'!$B114*'W. Month'!B$10))</f>
        <v>0</v>
      </c>
      <c r="C21" s="141">
        <f>IF($M$3="Quantità vendute",'W Plur.'!$B99*'W. Month'!C$10,IF($M$3="Ricavi Generati",'W Plur.'!$B114*'W. Month'!C$10))</f>
        <v>0</v>
      </c>
      <c r="D21" s="141">
        <f>IF($M$3="Quantità vendute",'W Plur.'!$B99*'W. Month'!D$10,IF($M$3="Ricavi Generati",'W Plur.'!$B114*'W. Month'!D$10))</f>
        <v>0</v>
      </c>
      <c r="E21" s="141">
        <f>IF($M$3="Quantità vendute",'W Plur.'!$B99*'W. Month'!E$10,IF($M$3="Ricavi Generati",'W Plur.'!$B114*'W. Month'!E$10))</f>
        <v>0</v>
      </c>
      <c r="F21" s="141">
        <f>IF($M$3="Quantità vendute",'W Plur.'!$B99*'W. Month'!F$10,IF($M$3="Ricavi Generati",'W Plur.'!$B114*'W. Month'!F$10))</f>
        <v>0</v>
      </c>
      <c r="G21" s="141">
        <f>IF($M$3="Quantità vendute",'W Plur.'!$B99*'W. Month'!G$10,IF($M$3="Ricavi Generati",'W Plur.'!$B114*'W. Month'!G$10))</f>
        <v>0</v>
      </c>
      <c r="H21" s="141">
        <f>IF($M$3="Quantità vendute",'W Plur.'!$B99*'W. Month'!H$10,IF($M$3="Ricavi Generati",'W Plur.'!$B114*'W. Month'!H$10))</f>
        <v>0</v>
      </c>
      <c r="I21" s="141">
        <f>IF($M$3="Quantità vendute",'W Plur.'!$B99*'W. Month'!I$10,IF($M$3="Ricavi Generati",'W Plur.'!$B114*'W. Month'!I$10))</f>
        <v>0</v>
      </c>
      <c r="J21" s="141">
        <f>IF($M$3="Quantità vendute",'W Plur.'!$B99*'W. Month'!J$10,IF($M$3="Ricavi Generati",'W Plur.'!$B114*'W. Month'!J$10))</f>
        <v>0</v>
      </c>
      <c r="K21" s="141">
        <f>IF($M$3="Quantità vendute",'W Plur.'!$B99*'W. Month'!K$10,IF($M$3="Ricavi Generati",'W Plur.'!$B114*'W. Month'!K$10))</f>
        <v>0</v>
      </c>
      <c r="L21" s="141">
        <f>IF($M$3="Quantità vendute",'W Plur.'!$B99*'W. Month'!L$10,IF($M$3="Ricavi Generati",'W Plur.'!$B114*'W. Month'!L$10))</f>
        <v>0</v>
      </c>
      <c r="M21" s="141">
        <f>IF($M$3="Quantità vendute",'W Plur.'!$B99*'W. Month'!M$10,IF($M$3="Ricavi Generati",'W Plur.'!$B114*'W. Month'!M$10))</f>
        <v>0</v>
      </c>
      <c r="N21" s="152">
        <f t="shared" si="3"/>
        <v>0</v>
      </c>
      <c r="O21" s="276">
        <f t="shared" si="4"/>
        <v>0</v>
      </c>
    </row>
    <row r="22" spans="1:15" ht="16.5" hidden="1" customHeight="1">
      <c r="A22" s="548" t="str">
        <f>'W Plur.'!A115</f>
        <v>//</v>
      </c>
      <c r="B22" s="141">
        <f>IF($M$3="Quantità vendute",'W Plur.'!$B100*'W. Month'!B$10,IF($M$3="Ricavi Generati",'W Plur.'!$B115*'W. Month'!B$10))</f>
        <v>0</v>
      </c>
      <c r="C22" s="141">
        <f>IF($M$3="Quantità vendute",'W Plur.'!$B100*'W. Month'!C$10,IF($M$3="Ricavi Generati",'W Plur.'!$B115*'W. Month'!C$10))</f>
        <v>0</v>
      </c>
      <c r="D22" s="141">
        <f>IF($M$3="Quantità vendute",'W Plur.'!$B100*'W. Month'!D$10,IF($M$3="Ricavi Generati",'W Plur.'!$B115*'W. Month'!D$10))</f>
        <v>0</v>
      </c>
      <c r="E22" s="141">
        <f>IF($M$3="Quantità vendute",'W Plur.'!$B100*'W. Month'!E$10,IF($M$3="Ricavi Generati",'W Plur.'!$B115*'W. Month'!E$10))</f>
        <v>0</v>
      </c>
      <c r="F22" s="141">
        <f>IF($M$3="Quantità vendute",'W Plur.'!$B100*'W. Month'!F$10,IF($M$3="Ricavi Generati",'W Plur.'!$B115*'W. Month'!F$10))</f>
        <v>0</v>
      </c>
      <c r="G22" s="141">
        <f>IF($M$3="Quantità vendute",'W Plur.'!$B100*'W. Month'!G$10,IF($M$3="Ricavi Generati",'W Plur.'!$B115*'W. Month'!G$10))</f>
        <v>0</v>
      </c>
      <c r="H22" s="141">
        <f>IF($M$3="Quantità vendute",'W Plur.'!$B100*'W. Month'!H$10,IF($M$3="Ricavi Generati",'W Plur.'!$B115*'W. Month'!H$10))</f>
        <v>0</v>
      </c>
      <c r="I22" s="141">
        <f>IF($M$3="Quantità vendute",'W Plur.'!$B100*'W. Month'!I$10,IF($M$3="Ricavi Generati",'W Plur.'!$B115*'W. Month'!I$10))</f>
        <v>0</v>
      </c>
      <c r="J22" s="141">
        <f>IF($M$3="Quantità vendute",'W Plur.'!$B100*'W. Month'!J$10,IF($M$3="Ricavi Generati",'W Plur.'!$B115*'W. Month'!J$10))</f>
        <v>0</v>
      </c>
      <c r="K22" s="141">
        <f>IF($M$3="Quantità vendute",'W Plur.'!$B100*'W. Month'!K$10,IF($M$3="Ricavi Generati",'W Plur.'!$B115*'W. Month'!K$10))</f>
        <v>0</v>
      </c>
      <c r="L22" s="141">
        <f>IF($M$3="Quantità vendute",'W Plur.'!$B100*'W. Month'!L$10,IF($M$3="Ricavi Generati",'W Plur.'!$B115*'W. Month'!L$10))</f>
        <v>0</v>
      </c>
      <c r="M22" s="141">
        <f>IF($M$3="Quantità vendute",'W Plur.'!$B100*'W. Month'!M$10,IF($M$3="Ricavi Generati",'W Plur.'!$B115*'W. Month'!M$10))</f>
        <v>0</v>
      </c>
      <c r="N22" s="152">
        <f t="shared" si="3"/>
        <v>0</v>
      </c>
      <c r="O22" s="276">
        <f t="shared" si="4"/>
        <v>0</v>
      </c>
    </row>
    <row r="23" spans="1:15" ht="16.5" hidden="1" customHeight="1">
      <c r="A23" s="548" t="str">
        <f>'W Plur.'!A116</f>
        <v>//</v>
      </c>
      <c r="B23" s="141">
        <f>IF($M$3="Quantità vendute",'W Plur.'!$B101*'W. Month'!B$10,IF($M$3="Ricavi Generati",'W Plur.'!$B116*'W. Month'!B$10))</f>
        <v>0</v>
      </c>
      <c r="C23" s="141">
        <f>IF($M$3="Quantità vendute",'W Plur.'!$B101*'W. Month'!C$10,IF($M$3="Ricavi Generati",'W Plur.'!$B116*'W. Month'!C$10))</f>
        <v>0</v>
      </c>
      <c r="D23" s="141">
        <f>IF($M$3="Quantità vendute",'W Plur.'!$B101*'W. Month'!D$10,IF($M$3="Ricavi Generati",'W Plur.'!$B116*'W. Month'!D$10))</f>
        <v>0</v>
      </c>
      <c r="E23" s="141">
        <f>IF($M$3="Quantità vendute",'W Plur.'!$B101*'W. Month'!E$10,IF($M$3="Ricavi Generati",'W Plur.'!$B116*'W. Month'!E$10))</f>
        <v>0</v>
      </c>
      <c r="F23" s="141">
        <f>IF($M$3="Quantità vendute",'W Plur.'!$B101*'W. Month'!F$10,IF($M$3="Ricavi Generati",'W Plur.'!$B116*'W. Month'!F$10))</f>
        <v>0</v>
      </c>
      <c r="G23" s="141">
        <f>IF($M$3="Quantità vendute",'W Plur.'!$B101*'W. Month'!G$10,IF($M$3="Ricavi Generati",'W Plur.'!$B116*'W. Month'!G$10))</f>
        <v>0</v>
      </c>
      <c r="H23" s="141">
        <f>IF($M$3="Quantità vendute",'W Plur.'!$B101*'W. Month'!H$10,IF($M$3="Ricavi Generati",'W Plur.'!$B116*'W. Month'!H$10))</f>
        <v>0</v>
      </c>
      <c r="I23" s="141">
        <f>IF($M$3="Quantità vendute",'W Plur.'!$B101*'W. Month'!I$10,IF($M$3="Ricavi Generati",'W Plur.'!$B116*'W. Month'!I$10))</f>
        <v>0</v>
      </c>
      <c r="J23" s="141">
        <f>IF($M$3="Quantità vendute",'W Plur.'!$B101*'W. Month'!J$10,IF($M$3="Ricavi Generati",'W Plur.'!$B116*'W. Month'!J$10))</f>
        <v>0</v>
      </c>
      <c r="K23" s="141">
        <f>IF($M$3="Quantità vendute",'W Plur.'!$B101*'W. Month'!K$10,IF($M$3="Ricavi Generati",'W Plur.'!$B116*'W. Month'!K$10))</f>
        <v>0</v>
      </c>
      <c r="L23" s="141">
        <f>IF($M$3="Quantità vendute",'W Plur.'!$B101*'W. Month'!L$10,IF($M$3="Ricavi Generati",'W Plur.'!$B116*'W. Month'!L$10))</f>
        <v>0</v>
      </c>
      <c r="M23" s="141">
        <f>IF($M$3="Quantità vendute",'W Plur.'!$B101*'W. Month'!M$10,IF($M$3="Ricavi Generati",'W Plur.'!$B116*'W. Month'!M$10))</f>
        <v>0</v>
      </c>
      <c r="N23" s="152">
        <f t="shared" si="3"/>
        <v>0</v>
      </c>
      <c r="O23" s="276">
        <f t="shared" si="4"/>
        <v>0</v>
      </c>
    </row>
    <row r="24" spans="1:15" ht="16.5" hidden="1" customHeight="1">
      <c r="A24" s="548" t="str">
        <f>'W Plur.'!A117</f>
        <v>//</v>
      </c>
      <c r="B24" s="141">
        <f>IF($M$3="Quantità vendute",'W Plur.'!$B102*'W. Month'!B$10,IF($M$3="Ricavi Generati",'W Plur.'!$B117*'W. Month'!B$10))</f>
        <v>0</v>
      </c>
      <c r="C24" s="141">
        <f>IF($M$3="Quantità vendute",'W Plur.'!$B102*'W. Month'!C$10,IF($M$3="Ricavi Generati",'W Plur.'!$B117*'W. Month'!C$10))</f>
        <v>0</v>
      </c>
      <c r="D24" s="141">
        <f>IF($M$3="Quantità vendute",'W Plur.'!$B102*'W. Month'!D$10,IF($M$3="Ricavi Generati",'W Plur.'!$B117*'W. Month'!D$10))</f>
        <v>0</v>
      </c>
      <c r="E24" s="141">
        <f>IF($M$3="Quantità vendute",'W Plur.'!$B102*'W. Month'!E$10,IF($M$3="Ricavi Generati",'W Plur.'!$B117*'W. Month'!E$10))</f>
        <v>0</v>
      </c>
      <c r="F24" s="141">
        <f>IF($M$3="Quantità vendute",'W Plur.'!$B102*'W. Month'!F$10,IF($M$3="Ricavi Generati",'W Plur.'!$B117*'W. Month'!F$10))</f>
        <v>0</v>
      </c>
      <c r="G24" s="141">
        <f>IF($M$3="Quantità vendute",'W Plur.'!$B102*'W. Month'!G$10,IF($M$3="Ricavi Generati",'W Plur.'!$B117*'W. Month'!G$10))</f>
        <v>0</v>
      </c>
      <c r="H24" s="141">
        <f>IF($M$3="Quantità vendute",'W Plur.'!$B102*'W. Month'!H$10,IF($M$3="Ricavi Generati",'W Plur.'!$B117*'W. Month'!H$10))</f>
        <v>0</v>
      </c>
      <c r="I24" s="141">
        <f>IF($M$3="Quantità vendute",'W Plur.'!$B102*'W. Month'!I$10,IF($M$3="Ricavi Generati",'W Plur.'!$B117*'W. Month'!I$10))</f>
        <v>0</v>
      </c>
      <c r="J24" s="141">
        <f>IF($M$3="Quantità vendute",'W Plur.'!$B102*'W. Month'!J$10,IF($M$3="Ricavi Generati",'W Plur.'!$B117*'W. Month'!J$10))</f>
        <v>0</v>
      </c>
      <c r="K24" s="141">
        <f>IF($M$3="Quantità vendute",'W Plur.'!$B102*'W. Month'!K$10,IF($M$3="Ricavi Generati",'W Plur.'!$B117*'W. Month'!K$10))</f>
        <v>0</v>
      </c>
      <c r="L24" s="141">
        <f>IF($M$3="Quantità vendute",'W Plur.'!$B102*'W. Month'!L$10,IF($M$3="Ricavi Generati",'W Plur.'!$B117*'W. Month'!L$10))</f>
        <v>0</v>
      </c>
      <c r="M24" s="141">
        <f>IF($M$3="Quantità vendute",'W Plur.'!$B102*'W. Month'!M$10,IF($M$3="Ricavi Generati",'W Plur.'!$B117*'W. Month'!M$10))</f>
        <v>0</v>
      </c>
      <c r="N24" s="152">
        <f t="shared" si="3"/>
        <v>0</v>
      </c>
      <c r="O24" s="276">
        <f t="shared" si="4"/>
        <v>0</v>
      </c>
    </row>
    <row r="25" spans="1:15" ht="16.5" hidden="1" customHeight="1">
      <c r="A25" s="548" t="str">
        <f>'W Plur.'!A118</f>
        <v>//</v>
      </c>
      <c r="B25" s="141">
        <f>IF($M$3="Quantità vendute",'W Plur.'!$B103*'W. Month'!B$10,IF($M$3="Ricavi Generati",'W Plur.'!$B118*'W. Month'!B$10))</f>
        <v>0</v>
      </c>
      <c r="C25" s="141">
        <f>IF($M$3="Quantità vendute",'W Plur.'!$B103*'W. Month'!C$10,IF($M$3="Ricavi Generati",'W Plur.'!$B118*'W. Month'!C$10))</f>
        <v>0</v>
      </c>
      <c r="D25" s="141">
        <f>IF($M$3="Quantità vendute",'W Plur.'!$B103*'W. Month'!D$10,IF($M$3="Ricavi Generati",'W Plur.'!$B118*'W. Month'!D$10))</f>
        <v>0</v>
      </c>
      <c r="E25" s="141">
        <f>IF($M$3="Quantità vendute",'W Plur.'!$B103*'W. Month'!E$10,IF($M$3="Ricavi Generati",'W Plur.'!$B118*'W. Month'!E$10))</f>
        <v>0</v>
      </c>
      <c r="F25" s="141">
        <f>IF($M$3="Quantità vendute",'W Plur.'!$B103*'W. Month'!F$10,IF($M$3="Ricavi Generati",'W Plur.'!$B118*'W. Month'!F$10))</f>
        <v>0</v>
      </c>
      <c r="G25" s="141">
        <f>IF($M$3="Quantità vendute",'W Plur.'!$B103*'W. Month'!G$10,IF($M$3="Ricavi Generati",'W Plur.'!$B118*'W. Month'!G$10))</f>
        <v>0</v>
      </c>
      <c r="H25" s="141">
        <f>IF($M$3="Quantità vendute",'W Plur.'!$B103*'W. Month'!H$10,IF($M$3="Ricavi Generati",'W Plur.'!$B118*'W. Month'!H$10))</f>
        <v>0</v>
      </c>
      <c r="I25" s="141">
        <f>IF($M$3="Quantità vendute",'W Plur.'!$B103*'W. Month'!I$10,IF($M$3="Ricavi Generati",'W Plur.'!$B118*'W. Month'!I$10))</f>
        <v>0</v>
      </c>
      <c r="J25" s="141">
        <f>IF($M$3="Quantità vendute",'W Plur.'!$B103*'W. Month'!J$10,IF($M$3="Ricavi Generati",'W Plur.'!$B118*'W. Month'!J$10))</f>
        <v>0</v>
      </c>
      <c r="K25" s="141">
        <f>IF($M$3="Quantità vendute",'W Plur.'!$B103*'W. Month'!K$10,IF($M$3="Ricavi Generati",'W Plur.'!$B118*'W. Month'!K$10))</f>
        <v>0</v>
      </c>
      <c r="L25" s="141">
        <f>IF($M$3="Quantità vendute",'W Plur.'!$B103*'W. Month'!L$10,IF($M$3="Ricavi Generati",'W Plur.'!$B118*'W. Month'!L$10))</f>
        <v>0</v>
      </c>
      <c r="M25" s="141">
        <f>IF($M$3="Quantità vendute",'W Plur.'!$B103*'W. Month'!M$10,IF($M$3="Ricavi Generati",'W Plur.'!$B118*'W. Month'!M$10))</f>
        <v>0</v>
      </c>
      <c r="N25" s="152">
        <f t="shared" si="3"/>
        <v>0</v>
      </c>
      <c r="O25" s="276">
        <f t="shared" si="4"/>
        <v>0</v>
      </c>
    </row>
    <row r="26" spans="1:15" ht="16.5" customHeight="1" thickBot="1">
      <c r="A26" s="270" t="str">
        <f>'W Plur.'!A119</f>
        <v>Total</v>
      </c>
      <c r="B26" s="277">
        <f>SUM(B14:B25)</f>
        <v>58836.447491226339</v>
      </c>
      <c r="C26" s="277">
        <f t="shared" ref="C26:M26" si="5">SUM(C14:C25)</f>
        <v>57147.433311634282</v>
      </c>
      <c r="D26" s="277">
        <f t="shared" si="5"/>
        <v>63748.223578501944</v>
      </c>
      <c r="E26" s="277">
        <f t="shared" si="5"/>
        <v>63040.5321567754</v>
      </c>
      <c r="F26" s="277">
        <f t="shared" si="5"/>
        <v>66118.994138724374</v>
      </c>
      <c r="G26" s="277">
        <f t="shared" si="5"/>
        <v>67551.840697712643</v>
      </c>
      <c r="H26" s="277">
        <f t="shared" si="5"/>
        <v>74789.642953162023</v>
      </c>
      <c r="I26" s="277">
        <f t="shared" si="5"/>
        <v>73144.140337960824</v>
      </c>
      <c r="J26" s="277">
        <f t="shared" si="5"/>
        <v>61784.611139117842</v>
      </c>
      <c r="K26" s="277">
        <f t="shared" si="5"/>
        <v>60928.969654866138</v>
      </c>
      <c r="L26" s="277">
        <f t="shared" si="5"/>
        <v>51994.65418971482</v>
      </c>
      <c r="M26" s="277">
        <f t="shared" si="5"/>
        <v>54394.510350603232</v>
      </c>
      <c r="N26" s="277">
        <f>SUM(B26:M26)</f>
        <v>753479.99999999988</v>
      </c>
      <c r="O26" s="278">
        <f>AVERAGE(O14:O25)</f>
        <v>0</v>
      </c>
    </row>
    <row r="27" spans="1:15" ht="16.5" customHeight="1" thickTop="1">
      <c r="A27" s="3"/>
      <c r="B27" s="141"/>
      <c r="C27" s="141"/>
      <c r="D27" s="141"/>
      <c r="E27" s="141"/>
      <c r="F27" s="141"/>
      <c r="G27" s="276"/>
      <c r="H27" s="276"/>
      <c r="I27" s="276"/>
      <c r="J27" s="276"/>
      <c r="K27" s="276"/>
      <c r="L27" s="276"/>
      <c r="M27" s="276"/>
      <c r="N27" s="276"/>
      <c r="O27" s="276"/>
    </row>
    <row r="28" spans="1:15" ht="16.5" customHeight="1" thickBot="1">
      <c r="A28" s="264">
        <f>'W Plur.'!C5</f>
        <v>2026</v>
      </c>
      <c r="B28" s="279" t="str">
        <f>B13</f>
        <v>January</v>
      </c>
      <c r="C28" s="279" t="str">
        <f t="shared" ref="C28:N28" si="6">C13</f>
        <v>February</v>
      </c>
      <c r="D28" s="279" t="str">
        <f t="shared" si="6"/>
        <v>March</v>
      </c>
      <c r="E28" s="279" t="str">
        <f t="shared" si="6"/>
        <v>April</v>
      </c>
      <c r="F28" s="279" t="str">
        <f t="shared" si="6"/>
        <v>May</v>
      </c>
      <c r="G28" s="279" t="str">
        <f t="shared" si="6"/>
        <v>June</v>
      </c>
      <c r="H28" s="279" t="str">
        <f t="shared" si="6"/>
        <v>July</v>
      </c>
      <c r="I28" s="279" t="str">
        <f t="shared" si="6"/>
        <v>August</v>
      </c>
      <c r="J28" s="279" t="str">
        <f t="shared" si="6"/>
        <v>September</v>
      </c>
      <c r="K28" s="279" t="str">
        <f t="shared" si="6"/>
        <v>October</v>
      </c>
      <c r="L28" s="279" t="str">
        <f t="shared" si="6"/>
        <v>November</v>
      </c>
      <c r="M28" s="279" t="str">
        <f t="shared" si="6"/>
        <v>December</v>
      </c>
      <c r="N28" s="279" t="str">
        <f t="shared" si="6"/>
        <v>Sum</v>
      </c>
      <c r="O28" s="279" t="s">
        <v>7</v>
      </c>
    </row>
    <row r="29" spans="1:15" ht="16.5" customHeight="1" thickTop="1">
      <c r="A29" s="548" t="str">
        <f>A14</f>
        <v>Revenues before lunch</v>
      </c>
      <c r="B29" s="141">
        <f>IF($M$3="Quantità vendute",'W Plur.'!$C92*'W. Month'!B$10,IF($M$3="Ricavi Generati",'W Plur.'!$C107*'W. Month'!B$10))</f>
        <v>30836.810028998469</v>
      </c>
      <c r="C29" s="141">
        <f>IF($M$3="Quantità vendute",'W Plur.'!$C92*'W. Month'!C$10,IF($M$3="Ricavi Generati",'W Plur.'!$C107*'W. Month'!C$10))</f>
        <v>29951.579672421762</v>
      </c>
      <c r="D29" s="141">
        <f>IF($M$3="Quantità vendute",'W Plur.'!$C92*'W. Month'!D$10,IF($M$3="Ricavi Generati",'W Plur.'!$C107*'W. Month'!D$10))</f>
        <v>33411.124294503388</v>
      </c>
      <c r="E29" s="141">
        <f>IF($M$3="Quantità vendute",'W Plur.'!$C92*'W. Month'!E$10,IF($M$3="Ricavi Generati",'W Plur.'!$C107*'W. Month'!E$10))</f>
        <v>33040.215667938413</v>
      </c>
      <c r="F29" s="141">
        <f>IF($M$3="Quantità vendute",'W Plur.'!$C92*'W. Month'!F$10,IF($M$3="Ricavi Generati",'W Plur.'!$C107*'W. Month'!F$10))</f>
        <v>34653.670445829448</v>
      </c>
      <c r="G29" s="141">
        <f>IF($M$3="Quantità vendute",'W Plur.'!$C92*'W. Month'!G$10,IF($M$3="Ricavi Generati",'W Plur.'!$C107*'W. Month'!G$10))</f>
        <v>35404.640618643069</v>
      </c>
      <c r="H29" s="141">
        <f>IF($M$3="Quantità vendute",'W Plur.'!$C92*'W. Month'!H$10,IF($M$3="Ricavi Generati",'W Plur.'!$C107*'W. Month'!H$10))</f>
        <v>39198.050022092029</v>
      </c>
      <c r="I29" s="141">
        <f>IF($M$3="Quantità vendute",'W Plur.'!$C92*'W. Month'!I$10,IF($M$3="Ricavi Generati",'W Plur.'!$C107*'W. Month'!I$10))</f>
        <v>38335.624540765231</v>
      </c>
      <c r="J29" s="141">
        <f>IF($M$3="Quantità vendute",'W Plur.'!$C92*'W. Month'!J$10,IF($M$3="Ricavi Generati",'W Plur.'!$C107*'W. Month'!J$10))</f>
        <v>32381.974059474407</v>
      </c>
      <c r="K29" s="141">
        <f>IF($M$3="Quantità vendute",'W Plur.'!$C92*'W. Month'!K$10,IF($M$3="Ricavi Generati",'W Plur.'!$C107*'W. Month'!K$10))</f>
        <v>31933.523226226283</v>
      </c>
      <c r="L29" s="141">
        <f>IF($M$3="Quantità vendute",'W Plur.'!$C92*'W. Month'!L$10,IF($M$3="Ricavi Generati",'W Plur.'!$C107*'W. Month'!L$10))</f>
        <v>27250.953144490853</v>
      </c>
      <c r="M29" s="141">
        <f>IF($M$3="Quantità vendute",'W Plur.'!$C92*'W. Month'!M$10,IF($M$3="Ricavi Generati",'W Plur.'!$C107*'W. Month'!M$10))</f>
        <v>28508.743369525644</v>
      </c>
      <c r="N29" s="152">
        <f t="shared" ref="N29:N37" si="7">SUM(B29:M29)</f>
        <v>394906.909090909</v>
      </c>
      <c r="O29" s="276">
        <f>'Controll Panel'!C7</f>
        <v>0</v>
      </c>
    </row>
    <row r="30" spans="1:15" ht="16.5" customHeight="1">
      <c r="A30" s="548" t="str">
        <f t="shared" ref="A30:A40" si="8">A15</f>
        <v>Revenues during lunch</v>
      </c>
      <c r="B30" s="141">
        <f>IF($M$3="Quantità vendute",'W Plur.'!$C93*'W. Month'!B$10,IF($M$3="Ricavi Generati",'W Plur.'!$C108*'W. Month'!B$10))</f>
        <v>21585.767020298925</v>
      </c>
      <c r="C30" s="141">
        <f>IF($M$3="Quantità vendute",'W Plur.'!$C93*'W. Month'!C$10,IF($M$3="Ricavi Generati",'W Plur.'!$C108*'W. Month'!C$10))</f>
        <v>20966.105770695231</v>
      </c>
      <c r="D30" s="141">
        <f>IF($M$3="Quantità vendute",'W Plur.'!$C93*'W. Month'!D$10,IF($M$3="Ricavi Generati",'W Plur.'!$C108*'W. Month'!D$10))</f>
        <v>23387.787006152368</v>
      </c>
      <c r="E30" s="141">
        <f>IF($M$3="Quantità vendute",'W Plur.'!$C93*'W. Month'!E$10,IF($M$3="Ricavi Generati",'W Plur.'!$C108*'W. Month'!E$10))</f>
        <v>23128.150967556885</v>
      </c>
      <c r="F30" s="141">
        <f>IF($M$3="Quantità vendute",'W Plur.'!$C93*'W. Month'!F$10,IF($M$3="Ricavi Generati",'W Plur.'!$C108*'W. Month'!F$10))</f>
        <v>24257.56931208061</v>
      </c>
      <c r="G30" s="141">
        <f>IF($M$3="Quantità vendute",'W Plur.'!$C93*'W. Month'!G$10,IF($M$3="Ricavi Generati",'W Plur.'!$C108*'W. Month'!G$10))</f>
        <v>24783.248433050143</v>
      </c>
      <c r="H30" s="141">
        <f>IF($M$3="Quantità vendute",'W Plur.'!$C93*'W. Month'!H$10,IF($M$3="Ricavi Generati",'W Plur.'!$C108*'W. Month'!H$10))</f>
        <v>27438.635015464417</v>
      </c>
      <c r="I30" s="141">
        <f>IF($M$3="Quantità vendute",'W Plur.'!$C93*'W. Month'!I$10,IF($M$3="Ricavi Generati",'W Plur.'!$C108*'W. Month'!I$10))</f>
        <v>26834.93717853566</v>
      </c>
      <c r="J30" s="141">
        <f>IF($M$3="Quantità vendute",'W Plur.'!$C93*'W. Month'!J$10,IF($M$3="Ricavi Generati",'W Plur.'!$C108*'W. Month'!J$10))</f>
        <v>22667.381841632083</v>
      </c>
      <c r="K30" s="141">
        <f>IF($M$3="Quantità vendute",'W Plur.'!$C93*'W. Month'!K$10,IF($M$3="Ricavi Generati",'W Plur.'!$C108*'W. Month'!K$10))</f>
        <v>22353.466258358396</v>
      </c>
      <c r="L30" s="141">
        <f>IF($M$3="Quantità vendute",'W Plur.'!$C93*'W. Month'!L$10,IF($M$3="Ricavi Generati",'W Plur.'!$C108*'W. Month'!L$10))</f>
        <v>19075.667201143595</v>
      </c>
      <c r="M30" s="141">
        <f>IF($M$3="Quantità vendute",'W Plur.'!$C93*'W. Month'!M$10,IF($M$3="Ricavi Generati",'W Plur.'!$C108*'W. Month'!M$10))</f>
        <v>19956.120358667948</v>
      </c>
      <c r="N30" s="152">
        <f t="shared" si="7"/>
        <v>276434.83636363619</v>
      </c>
      <c r="O30" s="276">
        <f>O29</f>
        <v>0</v>
      </c>
    </row>
    <row r="31" spans="1:15" ht="16.5" customHeight="1">
      <c r="A31" s="548" t="str">
        <f t="shared" si="8"/>
        <v>Revenues after lunch</v>
      </c>
      <c r="B31" s="141">
        <f>IF($M$3="Quantità vendute",'W Plur.'!$C94*'W. Month'!B$10,IF($M$3="Ricavi Generati",'W Plur.'!$C109*'W. Month'!B$10))</f>
        <v>7748.7368790816672</v>
      </c>
      <c r="C31" s="141">
        <f>IF($M$3="Quantità vendute",'W Plur.'!$C94*'W. Month'!C$10,IF($M$3="Ricavi Generati",'W Plur.'!$C109*'W. Month'!C$10))</f>
        <v>7526.2943792239303</v>
      </c>
      <c r="D31" s="141">
        <f>IF($M$3="Quantità vendute",'W Plur.'!$C94*'W. Month'!D$10,IF($M$3="Ricavi Generati",'W Plur.'!$C109*'W. Month'!D$10))</f>
        <v>8395.6158483623913</v>
      </c>
      <c r="E31" s="141">
        <f>IF($M$3="Quantità vendute",'W Plur.'!$C94*'W. Month'!E$10,IF($M$3="Ricavi Generati",'W Plur.'!$C109*'W. Month'!E$10))</f>
        <v>8302.4131678409358</v>
      </c>
      <c r="F31" s="141">
        <f>IF($M$3="Quantità vendute",'W Plur.'!$C94*'W. Month'!F$10,IF($M$3="Ricavi Generati",'W Plur.'!$C109*'W. Month'!F$10))</f>
        <v>8707.845394080221</v>
      </c>
      <c r="G31" s="141">
        <f>IF($M$3="Quantità vendute",'W Plur.'!$C94*'W. Month'!G$10,IF($M$3="Ricavi Generati",'W Plur.'!$C109*'W. Month'!G$10))</f>
        <v>8896.5507195564642</v>
      </c>
      <c r="H31" s="141">
        <f>IF($M$3="Quantità vendute",'W Plur.'!$C94*'W. Month'!H$10,IF($M$3="Ricavi Generati",'W Plur.'!$C109*'W. Month'!H$10))</f>
        <v>9849.7664158077423</v>
      </c>
      <c r="I31" s="141">
        <f>IF($M$3="Quantità vendute",'W Plur.'!$C94*'W. Month'!I$10,IF($M$3="Ricavi Generati",'W Plur.'!$C109*'W. Month'!I$10))</f>
        <v>9633.0543717820347</v>
      </c>
      <c r="J31" s="141">
        <f>IF($M$3="Quantità vendute",'W Plur.'!$C94*'W. Month'!J$10,IF($M$3="Ricavi Generati",'W Plur.'!$C109*'W. Month'!J$10))</f>
        <v>8137.0088662269036</v>
      </c>
      <c r="K31" s="141">
        <f>IF($M$3="Quantità vendute",'W Plur.'!$C94*'W. Month'!K$10,IF($M$3="Ricavi Generati",'W Plur.'!$C109*'W. Month'!K$10))</f>
        <v>8024.3212209491703</v>
      </c>
      <c r="L31" s="141">
        <f>IF($M$3="Quantità vendute",'W Plur.'!$C94*'W. Month'!L$10,IF($M$3="Ricavi Generati",'W Plur.'!$C109*'W. Month'!L$10))</f>
        <v>6847.6754055387282</v>
      </c>
      <c r="M31" s="141">
        <f>IF($M$3="Quantità vendute",'W Plur.'!$C94*'W. Month'!M$10,IF($M$3="Ricavi Generati",'W Plur.'!$C109*'W. Month'!M$10))</f>
        <v>7163.7355133679839</v>
      </c>
      <c r="N31" s="152">
        <f t="shared" si="7"/>
        <v>99233.018181818174</v>
      </c>
      <c r="O31" s="276">
        <f t="shared" ref="O31:O40" si="9">O30</f>
        <v>0</v>
      </c>
    </row>
    <row r="32" spans="1:15" ht="16.5" customHeight="1">
      <c r="A32" s="548" t="str">
        <f t="shared" si="8"/>
        <v>Revenues during dinner</v>
      </c>
      <c r="B32" s="141">
        <f>IF($M$3="Quantità vendute",'W Plur.'!$C95*'W. Month'!B$10,IF($M$3="Ricavi Generati",'W Plur.'!$C110*'W. Month'!B$10))</f>
        <v>2951.8997634596826</v>
      </c>
      <c r="C32" s="141">
        <f>IF($M$3="Quantità vendute",'W Plur.'!$C95*'W. Month'!C$10,IF($M$3="Ricavi Generati",'W Plur.'!$C110*'W. Month'!C$10))</f>
        <v>2867.1597635138778</v>
      </c>
      <c r="D32" s="141">
        <f>IF($M$3="Quantità vendute",'W Plur.'!$C95*'W. Month'!D$10,IF($M$3="Ricavi Generati",'W Plur.'!$C110*'W. Month'!D$10))</f>
        <v>3198.3298469951965</v>
      </c>
      <c r="E32" s="141">
        <f>IF($M$3="Quantità vendute",'W Plur.'!$C95*'W. Month'!E$10,IF($M$3="Ricavi Generati",'W Plur.'!$C110*'W. Month'!E$10))</f>
        <v>3162.8240639394035</v>
      </c>
      <c r="F32" s="141">
        <f>IF($M$3="Quantità vendute",'W Plur.'!$C95*'W. Month'!F$10,IF($M$3="Ricavi Generati",'W Plur.'!$C110*'W. Month'!F$10))</f>
        <v>3317.2744358400837</v>
      </c>
      <c r="G32" s="141">
        <f>IF($M$3="Quantità vendute",'W Plur.'!$C95*'W. Month'!G$10,IF($M$3="Ricavi Generati",'W Plur.'!$C110*'W. Month'!G$10))</f>
        <v>3389.1621788786524</v>
      </c>
      <c r="H32" s="141">
        <f>IF($M$3="Quantità vendute",'W Plur.'!$C95*'W. Month'!H$10,IF($M$3="Ricavi Generati",'W Plur.'!$C110*'W. Month'!H$10))</f>
        <v>3752.2919679267584</v>
      </c>
      <c r="I32" s="141">
        <f>IF($M$3="Quantità vendute",'W Plur.'!$C95*'W. Month'!I$10,IF($M$3="Ricavi Generati",'W Plur.'!$C110*'W. Month'!I$10))</f>
        <v>3669.7349987741081</v>
      </c>
      <c r="J32" s="141">
        <f>IF($M$3="Quantità vendute",'W Plur.'!$C95*'W. Month'!J$10,IF($M$3="Ricavi Generati",'W Plur.'!$C110*'W. Month'!J$10))</f>
        <v>3099.8129014197725</v>
      </c>
      <c r="K32" s="141">
        <f>IF($M$3="Quantità vendute",'W Plur.'!$C95*'W. Month'!K$10,IF($M$3="Ricavi Generati",'W Plur.'!$C110*'W. Month'!K$10))</f>
        <v>3056.8842746473024</v>
      </c>
      <c r="L32" s="141">
        <f>IF($M$3="Quantità vendute",'W Plur.'!$C95*'W. Month'!L$10,IF($M$3="Ricavi Generati",'W Plur.'!$C110*'W. Month'!L$10))</f>
        <v>2608.6382497290388</v>
      </c>
      <c r="M32" s="141">
        <f>IF($M$3="Quantità vendute",'W Plur.'!$C95*'W. Month'!M$10,IF($M$3="Ricavi Generati",'W Plur.'!$C110*'W. Month'!M$10))</f>
        <v>2729.0421003306601</v>
      </c>
      <c r="N32" s="152">
        <f t="shared" si="7"/>
        <v>37803.054545454535</v>
      </c>
      <c r="O32" s="276">
        <f t="shared" si="9"/>
        <v>0</v>
      </c>
    </row>
    <row r="33" spans="1:15" ht="16.5" hidden="1" customHeight="1">
      <c r="A33" s="548" t="str">
        <f t="shared" si="8"/>
        <v>//</v>
      </c>
      <c r="B33" s="141">
        <f>IF($M$3="Quantità vendute",'W Plur.'!$C96*'W. Month'!B$10,IF($M$3="Ricavi Generati",'W Plur.'!$C111*'W. Month'!B$10))</f>
        <v>0</v>
      </c>
      <c r="C33" s="141">
        <f>IF($M$3="Quantità vendute",'W Plur.'!$C96*'W. Month'!C$10,IF($M$3="Ricavi Generati",'W Plur.'!$C111*'W. Month'!C$10))</f>
        <v>0</v>
      </c>
      <c r="D33" s="141">
        <f>IF($M$3="Quantità vendute",'W Plur.'!$C96*'W. Month'!D$10,IF($M$3="Ricavi Generati",'W Plur.'!$C111*'W. Month'!D$10))</f>
        <v>0</v>
      </c>
      <c r="E33" s="141">
        <f>IF($M$3="Quantità vendute",'W Plur.'!$C96*'W. Month'!E$10,IF($M$3="Ricavi Generati",'W Plur.'!$C111*'W. Month'!E$10))</f>
        <v>0</v>
      </c>
      <c r="F33" s="141">
        <f>IF($M$3="Quantità vendute",'W Plur.'!$C96*'W. Month'!F$10,IF($M$3="Ricavi Generati",'W Plur.'!$C111*'W. Month'!F$10))</f>
        <v>0</v>
      </c>
      <c r="G33" s="141">
        <f>IF($M$3="Quantità vendute",'W Plur.'!$C96*'W. Month'!G$10,IF($M$3="Ricavi Generati",'W Plur.'!$C111*'W. Month'!G$10))</f>
        <v>0</v>
      </c>
      <c r="H33" s="141">
        <f>IF($M$3="Quantità vendute",'W Plur.'!$C96*'W. Month'!H$10,IF($M$3="Ricavi Generati",'W Plur.'!$C111*'W. Month'!H$10))</f>
        <v>0</v>
      </c>
      <c r="I33" s="141">
        <f>IF($M$3="Quantità vendute",'W Plur.'!$C96*'W. Month'!I$10,IF($M$3="Ricavi Generati",'W Plur.'!$C111*'W. Month'!I$10))</f>
        <v>0</v>
      </c>
      <c r="J33" s="141">
        <f>IF($M$3="Quantità vendute",'W Plur.'!$C96*'W. Month'!J$10,IF($M$3="Ricavi Generati",'W Plur.'!$C111*'W. Month'!J$10))</f>
        <v>0</v>
      </c>
      <c r="K33" s="141">
        <f>IF($M$3="Quantità vendute",'W Plur.'!$C96*'W. Month'!K$10,IF($M$3="Ricavi Generati",'W Plur.'!$C111*'W. Month'!K$10))</f>
        <v>0</v>
      </c>
      <c r="L33" s="141">
        <f>IF($M$3="Quantità vendute",'W Plur.'!$C96*'W. Month'!L$10,IF($M$3="Ricavi Generati",'W Plur.'!$C111*'W. Month'!L$10))</f>
        <v>0</v>
      </c>
      <c r="M33" s="141">
        <f>IF($M$3="Quantità vendute",'W Plur.'!$C96*'W. Month'!M$10,IF($M$3="Ricavi Generati",'W Plur.'!$C111*'W. Month'!M$10))</f>
        <v>0</v>
      </c>
      <c r="N33" s="152">
        <f t="shared" si="7"/>
        <v>0</v>
      </c>
      <c r="O33" s="276">
        <f t="shared" si="9"/>
        <v>0</v>
      </c>
    </row>
    <row r="34" spans="1:15" ht="16.5" hidden="1" customHeight="1">
      <c r="A34" s="548" t="str">
        <f t="shared" si="8"/>
        <v>//</v>
      </c>
      <c r="B34" s="141">
        <f>IF($M$3="Quantità vendute",'W Plur.'!$C97*'W. Month'!B$10,IF($M$3="Ricavi Generati",'W Plur.'!$C112*'W. Month'!B$10))</f>
        <v>0</v>
      </c>
      <c r="C34" s="141">
        <f>IF($M$3="Quantità vendute",'W Plur.'!$C97*'W. Month'!C$10,IF($M$3="Ricavi Generati",'W Plur.'!$C112*'W. Month'!C$10))</f>
        <v>0</v>
      </c>
      <c r="D34" s="141">
        <f>IF($M$3="Quantità vendute",'W Plur.'!$C97*'W. Month'!D$10,IF($M$3="Ricavi Generati",'W Plur.'!$C112*'W. Month'!D$10))</f>
        <v>0</v>
      </c>
      <c r="E34" s="141">
        <f>IF($M$3="Quantità vendute",'W Plur.'!$C97*'W. Month'!E$10,IF($M$3="Ricavi Generati",'W Plur.'!$C112*'W. Month'!E$10))</f>
        <v>0</v>
      </c>
      <c r="F34" s="141">
        <f>IF($M$3="Quantità vendute",'W Plur.'!$C97*'W. Month'!F$10,IF($M$3="Ricavi Generati",'W Plur.'!$C112*'W. Month'!F$10))</f>
        <v>0</v>
      </c>
      <c r="G34" s="141">
        <f>IF($M$3="Quantità vendute",'W Plur.'!$C97*'W. Month'!G$10,IF($M$3="Ricavi Generati",'W Plur.'!$C112*'W. Month'!G$10))</f>
        <v>0</v>
      </c>
      <c r="H34" s="141">
        <f>IF($M$3="Quantità vendute",'W Plur.'!$C97*'W. Month'!H$10,IF($M$3="Ricavi Generati",'W Plur.'!$C112*'W. Month'!H$10))</f>
        <v>0</v>
      </c>
      <c r="I34" s="141">
        <f>IF($M$3="Quantità vendute",'W Plur.'!$C97*'W. Month'!I$10,IF($M$3="Ricavi Generati",'W Plur.'!$C112*'W. Month'!I$10))</f>
        <v>0</v>
      </c>
      <c r="J34" s="141">
        <f>IF($M$3="Quantità vendute",'W Plur.'!$C97*'W. Month'!J$10,IF($M$3="Ricavi Generati",'W Plur.'!$C112*'W. Month'!J$10))</f>
        <v>0</v>
      </c>
      <c r="K34" s="141">
        <f>IF($M$3="Quantità vendute",'W Plur.'!$C97*'W. Month'!K$10,IF($M$3="Ricavi Generati",'W Plur.'!$C112*'W. Month'!K$10))</f>
        <v>0</v>
      </c>
      <c r="L34" s="141">
        <f>IF($M$3="Quantità vendute",'W Plur.'!$C97*'W. Month'!L$10,IF($M$3="Ricavi Generati",'W Plur.'!$C112*'W. Month'!L$10))</f>
        <v>0</v>
      </c>
      <c r="M34" s="141">
        <f>IF($M$3="Quantità vendute",'W Plur.'!$C97*'W. Month'!M$10,IF($M$3="Ricavi Generati",'W Plur.'!$C112*'W. Month'!M$10))</f>
        <v>0</v>
      </c>
      <c r="N34" s="152">
        <f t="shared" si="7"/>
        <v>0</v>
      </c>
      <c r="O34" s="276">
        <f t="shared" si="9"/>
        <v>0</v>
      </c>
    </row>
    <row r="35" spans="1:15" ht="16.5" hidden="1" customHeight="1">
      <c r="A35" s="548" t="str">
        <f t="shared" si="8"/>
        <v>//</v>
      </c>
      <c r="B35" s="141">
        <f>IF($M$3="Quantità vendute",'W Plur.'!$C98*'W. Month'!B$10,IF($M$3="Ricavi Generati",'W Plur.'!$C113*'W. Month'!B$10))</f>
        <v>0</v>
      </c>
      <c r="C35" s="141">
        <f>IF($M$3="Quantità vendute",'W Plur.'!$C98*'W. Month'!C$10,IF($M$3="Ricavi Generati",'W Plur.'!$C113*'W. Month'!C$10))</f>
        <v>0</v>
      </c>
      <c r="D35" s="141">
        <f>IF($M$3="Quantità vendute",'W Plur.'!$C98*'W. Month'!D$10,IF($M$3="Ricavi Generati",'W Plur.'!$C113*'W. Month'!D$10))</f>
        <v>0</v>
      </c>
      <c r="E35" s="141">
        <f>IF($M$3="Quantità vendute",'W Plur.'!$C98*'W. Month'!E$10,IF($M$3="Ricavi Generati",'W Plur.'!$C113*'W. Month'!E$10))</f>
        <v>0</v>
      </c>
      <c r="F35" s="141">
        <f>IF($M$3="Quantità vendute",'W Plur.'!$C98*'W. Month'!F$10,IF($M$3="Ricavi Generati",'W Plur.'!$C113*'W. Month'!F$10))</f>
        <v>0</v>
      </c>
      <c r="G35" s="141">
        <f>IF($M$3="Quantità vendute",'W Plur.'!$C98*'W. Month'!G$10,IF($M$3="Ricavi Generati",'W Plur.'!$C113*'W. Month'!G$10))</f>
        <v>0</v>
      </c>
      <c r="H35" s="141">
        <f>IF($M$3="Quantità vendute",'W Plur.'!$C98*'W. Month'!H$10,IF($M$3="Ricavi Generati",'W Plur.'!$C113*'W. Month'!H$10))</f>
        <v>0</v>
      </c>
      <c r="I35" s="141">
        <f>IF($M$3="Quantità vendute",'W Plur.'!$C98*'W. Month'!I$10,IF($M$3="Ricavi Generati",'W Plur.'!$C113*'W. Month'!I$10))</f>
        <v>0</v>
      </c>
      <c r="J35" s="141">
        <f>IF($M$3="Quantità vendute",'W Plur.'!$C98*'W. Month'!J$10,IF($M$3="Ricavi Generati",'W Plur.'!$C113*'W. Month'!J$10))</f>
        <v>0</v>
      </c>
      <c r="K35" s="141">
        <f>IF($M$3="Quantità vendute",'W Plur.'!$C98*'W. Month'!K$10,IF($M$3="Ricavi Generati",'W Plur.'!$C113*'W. Month'!K$10))</f>
        <v>0</v>
      </c>
      <c r="L35" s="141">
        <f>IF($M$3="Quantità vendute",'W Plur.'!$C98*'W. Month'!L$10,IF($M$3="Ricavi Generati",'W Plur.'!$C113*'W. Month'!L$10))</f>
        <v>0</v>
      </c>
      <c r="M35" s="141">
        <f>IF($M$3="Quantità vendute",'W Plur.'!$C98*'W. Month'!M$10,IF($M$3="Ricavi Generati",'W Plur.'!$C113*'W. Month'!M$10))</f>
        <v>0</v>
      </c>
      <c r="N35" s="152">
        <f t="shared" si="7"/>
        <v>0</v>
      </c>
      <c r="O35" s="276">
        <f t="shared" si="9"/>
        <v>0</v>
      </c>
    </row>
    <row r="36" spans="1:15" ht="16.5" hidden="1" customHeight="1">
      <c r="A36" s="548" t="str">
        <f t="shared" si="8"/>
        <v>//</v>
      </c>
      <c r="B36" s="141">
        <f>IF($M$3="Quantità vendute",'W Plur.'!$C99*'W. Month'!B$10,IF($M$3="Ricavi Generati",'W Plur.'!$C114*'W. Month'!B$10))</f>
        <v>0</v>
      </c>
      <c r="C36" s="141">
        <f>IF($M$3="Quantità vendute",'W Plur.'!$C99*'W. Month'!C$10,IF($M$3="Ricavi Generati",'W Plur.'!$C114*'W. Month'!C$10))</f>
        <v>0</v>
      </c>
      <c r="D36" s="141">
        <f>IF($M$3="Quantità vendute",'W Plur.'!$C99*'W. Month'!D$10,IF($M$3="Ricavi Generati",'W Plur.'!$C114*'W. Month'!D$10))</f>
        <v>0</v>
      </c>
      <c r="E36" s="141">
        <f>IF($M$3="Quantità vendute",'W Plur.'!$C99*'W. Month'!E$10,IF($M$3="Ricavi Generati",'W Plur.'!$C114*'W. Month'!E$10))</f>
        <v>0</v>
      </c>
      <c r="F36" s="141">
        <f>IF($M$3="Quantità vendute",'W Plur.'!$C99*'W. Month'!F$10,IF($M$3="Ricavi Generati",'W Plur.'!$C114*'W. Month'!F$10))</f>
        <v>0</v>
      </c>
      <c r="G36" s="141">
        <f>IF($M$3="Quantità vendute",'W Plur.'!$C99*'W. Month'!G$10,IF($M$3="Ricavi Generati",'W Plur.'!$C114*'W. Month'!G$10))</f>
        <v>0</v>
      </c>
      <c r="H36" s="141">
        <f>IF($M$3="Quantità vendute",'W Plur.'!$C99*'W. Month'!H$10,IF($M$3="Ricavi Generati",'W Plur.'!$C114*'W. Month'!H$10))</f>
        <v>0</v>
      </c>
      <c r="I36" s="141">
        <f>IF($M$3="Quantità vendute",'W Plur.'!$C99*'W. Month'!I$10,IF($M$3="Ricavi Generati",'W Plur.'!$C114*'W. Month'!I$10))</f>
        <v>0</v>
      </c>
      <c r="J36" s="141">
        <f>IF($M$3="Quantità vendute",'W Plur.'!$C99*'W. Month'!J$10,IF($M$3="Ricavi Generati",'W Plur.'!$C114*'W. Month'!J$10))</f>
        <v>0</v>
      </c>
      <c r="K36" s="141">
        <f>IF($M$3="Quantità vendute",'W Plur.'!$C99*'W. Month'!K$10,IF($M$3="Ricavi Generati",'W Plur.'!$C114*'W. Month'!K$10))</f>
        <v>0</v>
      </c>
      <c r="L36" s="141">
        <f>IF($M$3="Quantità vendute",'W Plur.'!$C99*'W. Month'!L$10,IF($M$3="Ricavi Generati",'W Plur.'!$C114*'W. Month'!L$10))</f>
        <v>0</v>
      </c>
      <c r="M36" s="141">
        <f>IF($M$3="Quantità vendute",'W Plur.'!$C99*'W. Month'!M$10,IF($M$3="Ricavi Generati",'W Plur.'!$C114*'W. Month'!M$10))</f>
        <v>0</v>
      </c>
      <c r="N36" s="152">
        <f t="shared" si="7"/>
        <v>0</v>
      </c>
      <c r="O36" s="276">
        <f t="shared" si="9"/>
        <v>0</v>
      </c>
    </row>
    <row r="37" spans="1:15" ht="16.5" hidden="1" customHeight="1">
      <c r="A37" s="548" t="str">
        <f t="shared" si="8"/>
        <v>//</v>
      </c>
      <c r="B37" s="141">
        <f>IF($M$3="Quantità vendute",'W Plur.'!$C100*'W. Month'!B$10,IF($M$3="Ricavi Generati",'W Plur.'!$C115*'W. Month'!B$10))</f>
        <v>0</v>
      </c>
      <c r="C37" s="141">
        <f>IF($M$3="Quantità vendute",'W Plur.'!$C100*'W. Month'!C$10,IF($M$3="Ricavi Generati",'W Plur.'!$C115*'W. Month'!C$10))</f>
        <v>0</v>
      </c>
      <c r="D37" s="141">
        <f>IF($M$3="Quantità vendute",'W Plur.'!$C100*'W. Month'!D$10,IF($M$3="Ricavi Generati",'W Plur.'!$C115*'W. Month'!D$10))</f>
        <v>0</v>
      </c>
      <c r="E37" s="141">
        <f>IF($M$3="Quantità vendute",'W Plur.'!$C100*'W. Month'!E$10,IF($M$3="Ricavi Generati",'W Plur.'!$C115*'W. Month'!E$10))</f>
        <v>0</v>
      </c>
      <c r="F37" s="141">
        <f>IF($M$3="Quantità vendute",'W Plur.'!$C100*'W. Month'!F$10,IF($M$3="Ricavi Generati",'W Plur.'!$C115*'W. Month'!F$10))</f>
        <v>0</v>
      </c>
      <c r="G37" s="141">
        <f>IF($M$3="Quantità vendute",'W Plur.'!$C100*'W. Month'!G$10,IF($M$3="Ricavi Generati",'W Plur.'!$C115*'W. Month'!G$10))</f>
        <v>0</v>
      </c>
      <c r="H37" s="141">
        <f>IF($M$3="Quantità vendute",'W Plur.'!$C100*'W. Month'!H$10,IF($M$3="Ricavi Generati",'W Plur.'!$C115*'W. Month'!H$10))</f>
        <v>0</v>
      </c>
      <c r="I37" s="141">
        <f>IF($M$3="Quantità vendute",'W Plur.'!$C100*'W. Month'!I$10,IF($M$3="Ricavi Generati",'W Plur.'!$C115*'W. Month'!I$10))</f>
        <v>0</v>
      </c>
      <c r="J37" s="141">
        <f>IF($M$3="Quantità vendute",'W Plur.'!$C100*'W. Month'!J$10,IF($M$3="Ricavi Generati",'W Plur.'!$C115*'W. Month'!J$10))</f>
        <v>0</v>
      </c>
      <c r="K37" s="141">
        <f>IF($M$3="Quantità vendute",'W Plur.'!$C100*'W. Month'!K$10,IF($M$3="Ricavi Generati",'W Plur.'!$C115*'W. Month'!K$10))</f>
        <v>0</v>
      </c>
      <c r="L37" s="141">
        <f>IF($M$3="Quantità vendute",'W Plur.'!$C100*'W. Month'!L$10,IF($M$3="Ricavi Generati",'W Plur.'!$C115*'W. Month'!L$10))</f>
        <v>0</v>
      </c>
      <c r="M37" s="141">
        <f>IF($M$3="Quantità vendute",'W Plur.'!$C100*'W. Month'!M$10,IF($M$3="Ricavi Generati",'W Plur.'!$C115*'W. Month'!M$10))</f>
        <v>0</v>
      </c>
      <c r="N37" s="152">
        <f t="shared" si="7"/>
        <v>0</v>
      </c>
      <c r="O37" s="276">
        <f t="shared" si="9"/>
        <v>0</v>
      </c>
    </row>
    <row r="38" spans="1:15" ht="16.5" hidden="1" customHeight="1">
      <c r="A38" s="548" t="str">
        <f t="shared" si="8"/>
        <v>//</v>
      </c>
      <c r="B38" s="141">
        <f>IF($M$3="Quantità vendute",'W Plur.'!$C101*'W. Month'!B$10,IF($M$3="Ricavi Generati",'W Plur.'!$C116*'W. Month'!B$10))</f>
        <v>0</v>
      </c>
      <c r="C38" s="141">
        <f>IF($M$3="Quantità vendute",'W Plur.'!$C101*'W. Month'!C$10,IF($M$3="Ricavi Generati",'W Plur.'!$C116*'W. Month'!C$10))</f>
        <v>0</v>
      </c>
      <c r="D38" s="141">
        <f>IF($M$3="Quantità vendute",'W Plur.'!$C101*'W. Month'!D$10,IF($M$3="Ricavi Generati",'W Plur.'!$C116*'W. Month'!D$10))</f>
        <v>0</v>
      </c>
      <c r="E38" s="141">
        <f>IF($M$3="Quantità vendute",'W Plur.'!$C101*'W. Month'!E$10,IF($M$3="Ricavi Generati",'W Plur.'!$C116*'W. Month'!E$10))</f>
        <v>0</v>
      </c>
      <c r="F38" s="141">
        <f>IF($M$3="Quantità vendute",'W Plur.'!$C101*'W. Month'!F$10,IF($M$3="Ricavi Generati",'W Plur.'!$C116*'W. Month'!F$10))</f>
        <v>0</v>
      </c>
      <c r="G38" s="141">
        <f>IF($M$3="Quantità vendute",'W Plur.'!$C101*'W. Month'!G$10,IF($M$3="Ricavi Generati",'W Plur.'!$C116*'W. Month'!G$10))</f>
        <v>0</v>
      </c>
      <c r="H38" s="141">
        <f>IF($M$3="Quantità vendute",'W Plur.'!$C101*'W. Month'!H$10,IF($M$3="Ricavi Generati",'W Plur.'!$C116*'W. Month'!H$10))</f>
        <v>0</v>
      </c>
      <c r="I38" s="141">
        <f>IF($M$3="Quantità vendute",'W Plur.'!$C101*'W. Month'!I$10,IF($M$3="Ricavi Generati",'W Plur.'!$C116*'W. Month'!I$10))</f>
        <v>0</v>
      </c>
      <c r="J38" s="141">
        <f>IF($M$3="Quantità vendute",'W Plur.'!$C101*'W. Month'!J$10,IF($M$3="Ricavi Generati",'W Plur.'!$C116*'W. Month'!J$10))</f>
        <v>0</v>
      </c>
      <c r="K38" s="141">
        <f>IF($M$3="Quantità vendute",'W Plur.'!$C101*'W. Month'!K$10,IF($M$3="Ricavi Generati",'W Plur.'!$C116*'W. Month'!K$10))</f>
        <v>0</v>
      </c>
      <c r="L38" s="141">
        <f>IF($M$3="Quantità vendute",'W Plur.'!$C101*'W. Month'!L$10,IF($M$3="Ricavi Generati",'W Plur.'!$C116*'W. Month'!L$10))</f>
        <v>0</v>
      </c>
      <c r="M38" s="141">
        <f>IF($M$3="Quantità vendute",'W Plur.'!$C101*'W. Month'!M$10,IF($M$3="Ricavi Generati",'W Plur.'!$C116*'W. Month'!M$10))</f>
        <v>0</v>
      </c>
      <c r="N38" s="152">
        <f>SUM(B38:M38)</f>
        <v>0</v>
      </c>
      <c r="O38" s="276">
        <f t="shared" si="9"/>
        <v>0</v>
      </c>
    </row>
    <row r="39" spans="1:15" ht="16.5" hidden="1" customHeight="1">
      <c r="A39" s="548" t="str">
        <f t="shared" si="8"/>
        <v>//</v>
      </c>
      <c r="B39" s="141">
        <f>IF($M$3="Quantità vendute",'W Plur.'!$C102*'W. Month'!B$10,IF($M$3="Ricavi Generati",'W Plur.'!$C117*'W. Month'!B$10))</f>
        <v>0</v>
      </c>
      <c r="C39" s="141">
        <f>IF($M$3="Quantità vendute",'W Plur.'!$C102*'W. Month'!C$10,IF($M$3="Ricavi Generati",'W Plur.'!$C117*'W. Month'!C$10))</f>
        <v>0</v>
      </c>
      <c r="D39" s="141">
        <f>IF($M$3="Quantità vendute",'W Plur.'!$C102*'W. Month'!D$10,IF($M$3="Ricavi Generati",'W Plur.'!$C117*'W. Month'!D$10))</f>
        <v>0</v>
      </c>
      <c r="E39" s="141">
        <f>IF($M$3="Quantità vendute",'W Plur.'!$C102*'W. Month'!E$10,IF($M$3="Ricavi Generati",'W Plur.'!$C117*'W. Month'!E$10))</f>
        <v>0</v>
      </c>
      <c r="F39" s="141">
        <f>IF($M$3="Quantità vendute",'W Plur.'!$C102*'W. Month'!F$10,IF($M$3="Ricavi Generati",'W Plur.'!$C117*'W. Month'!F$10))</f>
        <v>0</v>
      </c>
      <c r="G39" s="141">
        <f>IF($M$3="Quantità vendute",'W Plur.'!$C102*'W. Month'!G$10,IF($M$3="Ricavi Generati",'W Plur.'!$C117*'W. Month'!G$10))</f>
        <v>0</v>
      </c>
      <c r="H39" s="141">
        <f>IF($M$3="Quantità vendute",'W Plur.'!$C102*'W. Month'!H$10,IF($M$3="Ricavi Generati",'W Plur.'!$C117*'W. Month'!H$10))</f>
        <v>0</v>
      </c>
      <c r="I39" s="141">
        <f>IF($M$3="Quantità vendute",'W Plur.'!$C102*'W. Month'!I$10,IF($M$3="Ricavi Generati",'W Plur.'!$C117*'W. Month'!I$10))</f>
        <v>0</v>
      </c>
      <c r="J39" s="141">
        <f>IF($M$3="Quantità vendute",'W Plur.'!$C102*'W. Month'!J$10,IF($M$3="Ricavi Generati",'W Plur.'!$C117*'W. Month'!J$10))</f>
        <v>0</v>
      </c>
      <c r="K39" s="141">
        <f>IF($M$3="Quantità vendute",'W Plur.'!$C102*'W. Month'!K$10,IF($M$3="Ricavi Generati",'W Plur.'!$C117*'W. Month'!K$10))</f>
        <v>0</v>
      </c>
      <c r="L39" s="141">
        <f>IF($M$3="Quantità vendute",'W Plur.'!$C102*'W. Month'!L$10,IF($M$3="Ricavi Generati",'W Plur.'!$C117*'W. Month'!L$10))</f>
        <v>0</v>
      </c>
      <c r="M39" s="141">
        <f>IF($M$3="Quantità vendute",'W Plur.'!$C102*'W. Month'!M$10,IF($M$3="Ricavi Generati",'W Plur.'!$C117*'W. Month'!M$10))</f>
        <v>0</v>
      </c>
      <c r="N39" s="152">
        <f>SUM(B39:M39)</f>
        <v>0</v>
      </c>
      <c r="O39" s="276">
        <f t="shared" si="9"/>
        <v>0</v>
      </c>
    </row>
    <row r="40" spans="1:15" ht="16.5" hidden="1" customHeight="1">
      <c r="A40" s="548" t="str">
        <f t="shared" si="8"/>
        <v>//</v>
      </c>
      <c r="B40" s="141">
        <f>IF($M$3="Quantità vendute",'W Plur.'!$C103*'W. Month'!B$10,IF($M$3="Ricavi Generati",'W Plur.'!$C118*'W. Month'!B$10))</f>
        <v>0</v>
      </c>
      <c r="C40" s="141">
        <f>IF($M$3="Quantità vendute",'W Plur.'!$C103*'W. Month'!C$10,IF($M$3="Ricavi Generati",'W Plur.'!$C118*'W. Month'!C$10))</f>
        <v>0</v>
      </c>
      <c r="D40" s="141">
        <f>IF($M$3="Quantità vendute",'W Plur.'!$C103*'W. Month'!D$10,IF($M$3="Ricavi Generati",'W Plur.'!$C118*'W. Month'!D$10))</f>
        <v>0</v>
      </c>
      <c r="E40" s="141">
        <f>IF($M$3="Quantità vendute",'W Plur.'!$C103*'W. Month'!E$10,IF($M$3="Ricavi Generati",'W Plur.'!$C118*'W. Month'!E$10))</f>
        <v>0</v>
      </c>
      <c r="F40" s="141">
        <f>IF($M$3="Quantità vendute",'W Plur.'!$C103*'W. Month'!F$10,IF($M$3="Ricavi Generati",'W Plur.'!$C118*'W. Month'!F$10))</f>
        <v>0</v>
      </c>
      <c r="G40" s="141">
        <f>IF($M$3="Quantità vendute",'W Plur.'!$C103*'W. Month'!G$10,IF($M$3="Ricavi Generati",'W Plur.'!$C118*'W. Month'!G$10))</f>
        <v>0</v>
      </c>
      <c r="H40" s="141">
        <f>IF($M$3="Quantità vendute",'W Plur.'!$C103*'W. Month'!H$10,IF($M$3="Ricavi Generati",'W Plur.'!$C118*'W. Month'!H$10))</f>
        <v>0</v>
      </c>
      <c r="I40" s="141">
        <f>IF($M$3="Quantità vendute",'W Plur.'!$C103*'W. Month'!I$10,IF($M$3="Ricavi Generati",'W Plur.'!$C118*'W. Month'!I$10))</f>
        <v>0</v>
      </c>
      <c r="J40" s="141">
        <f>IF($M$3="Quantità vendute",'W Plur.'!$C103*'W. Month'!J$10,IF($M$3="Ricavi Generati",'W Plur.'!$C118*'W. Month'!J$10))</f>
        <v>0</v>
      </c>
      <c r="K40" s="141">
        <f>IF($M$3="Quantità vendute",'W Plur.'!$C103*'W. Month'!K$10,IF($M$3="Ricavi Generati",'W Plur.'!$C118*'W. Month'!K$10))</f>
        <v>0</v>
      </c>
      <c r="L40" s="141">
        <f>IF($M$3="Quantità vendute",'W Plur.'!$C103*'W. Month'!L$10,IF($M$3="Ricavi Generati",'W Plur.'!$C118*'W. Month'!L$10))</f>
        <v>0</v>
      </c>
      <c r="M40" s="141">
        <f>IF($M$3="Quantità vendute",'W Plur.'!$C103*'W. Month'!M$10,IF($M$3="Ricavi Generati",'W Plur.'!$C118*'W. Month'!M$10))</f>
        <v>0</v>
      </c>
      <c r="N40" s="152">
        <f>SUM(B40:M40)</f>
        <v>0</v>
      </c>
      <c r="O40" s="276">
        <f t="shared" si="9"/>
        <v>0</v>
      </c>
    </row>
    <row r="41" spans="1:15" ht="16.5" customHeight="1" thickBot="1">
      <c r="A41" s="270" t="str">
        <f>A26</f>
        <v>Total</v>
      </c>
      <c r="B41" s="277">
        <f>SUM(B29:B40)</f>
        <v>63123.213691838748</v>
      </c>
      <c r="C41" s="277">
        <f t="shared" ref="C41:M41" si="10">SUM(C29:C40)</f>
        <v>61311.139585854798</v>
      </c>
      <c r="D41" s="277">
        <f t="shared" si="10"/>
        <v>68392.856996013346</v>
      </c>
      <c r="E41" s="277">
        <f t="shared" si="10"/>
        <v>67633.60386727564</v>
      </c>
      <c r="F41" s="277">
        <f t="shared" si="10"/>
        <v>70936.35958783036</v>
      </c>
      <c r="G41" s="277">
        <f t="shared" si="10"/>
        <v>72473.601950128344</v>
      </c>
      <c r="H41" s="277">
        <f t="shared" si="10"/>
        <v>80238.743421290957</v>
      </c>
      <c r="I41" s="277">
        <f t="shared" si="10"/>
        <v>78473.351089857038</v>
      </c>
      <c r="J41" s="277">
        <f t="shared" si="10"/>
        <v>66286.177668753167</v>
      </c>
      <c r="K41" s="277">
        <f t="shared" si="10"/>
        <v>65368.19498018115</v>
      </c>
      <c r="L41" s="277">
        <f t="shared" si="10"/>
        <v>55782.93400090222</v>
      </c>
      <c r="M41" s="277">
        <f t="shared" si="10"/>
        <v>58357.641341892238</v>
      </c>
      <c r="N41" s="277">
        <f>SUM(B41:M41)</f>
        <v>808377.818181818</v>
      </c>
      <c r="O41" s="278">
        <f>AVERAGE(O29:O40)</f>
        <v>0</v>
      </c>
    </row>
    <row r="42" spans="1:15" ht="16.5" customHeight="1" thickTop="1">
      <c r="B42" s="280"/>
      <c r="C42" s="280"/>
      <c r="D42" s="280"/>
      <c r="E42" s="280"/>
      <c r="F42" s="280"/>
      <c r="G42" s="280"/>
      <c r="H42" s="280"/>
      <c r="I42" s="280"/>
      <c r="J42" s="280"/>
      <c r="K42" s="280"/>
      <c r="L42" s="280"/>
      <c r="M42" s="280"/>
      <c r="N42" s="280"/>
      <c r="O42" s="280"/>
    </row>
    <row r="43" spans="1:15" ht="16.5" customHeight="1" thickBot="1">
      <c r="A43" s="264">
        <f>'W Plur.'!D5</f>
        <v>2027</v>
      </c>
      <c r="B43" s="279" t="str">
        <f>B28</f>
        <v>January</v>
      </c>
      <c r="C43" s="279" t="str">
        <f t="shared" ref="C43:N43" si="11">C28</f>
        <v>February</v>
      </c>
      <c r="D43" s="279" t="str">
        <f t="shared" si="11"/>
        <v>March</v>
      </c>
      <c r="E43" s="279" t="str">
        <f t="shared" si="11"/>
        <v>April</v>
      </c>
      <c r="F43" s="279" t="str">
        <f t="shared" si="11"/>
        <v>May</v>
      </c>
      <c r="G43" s="279" t="str">
        <f t="shared" si="11"/>
        <v>June</v>
      </c>
      <c r="H43" s="279" t="str">
        <f t="shared" si="11"/>
        <v>July</v>
      </c>
      <c r="I43" s="279" t="str">
        <f t="shared" si="11"/>
        <v>August</v>
      </c>
      <c r="J43" s="279" t="str">
        <f t="shared" si="11"/>
        <v>September</v>
      </c>
      <c r="K43" s="279" t="str">
        <f t="shared" si="11"/>
        <v>October</v>
      </c>
      <c r="L43" s="279" t="str">
        <f t="shared" si="11"/>
        <v>November</v>
      </c>
      <c r="M43" s="279" t="str">
        <f t="shared" si="11"/>
        <v>December</v>
      </c>
      <c r="N43" s="279" t="str">
        <f t="shared" si="11"/>
        <v>Sum</v>
      </c>
      <c r="O43" s="279" t="s">
        <v>7</v>
      </c>
    </row>
    <row r="44" spans="1:15" ht="16.5" customHeight="1" thickTop="1">
      <c r="A44" s="548" t="str">
        <f>A29</f>
        <v>Revenues before lunch</v>
      </c>
      <c r="B44" s="141">
        <f>IF($M$3="Quantità vendute",'W Plur.'!$D92*'W. Month'!B$10,IF($M$3="Ricavi Generati",'W Plur.'!$D107*'W. Month'!B$10))</f>
        <v>33200.965464555018</v>
      </c>
      <c r="C44" s="141">
        <f>IF($M$3="Quantità vendute",'W Plur.'!$D92*'W. Month'!C$10,IF($M$3="Ricavi Generati",'W Plur.'!$D107*'W. Month'!C$10))</f>
        <v>32247.867447307428</v>
      </c>
      <c r="D44" s="141">
        <f>IF($M$3="Quantità vendute",'W Plur.'!$D92*'W. Month'!D$10,IF($M$3="Ricavi Generati",'W Plur.'!$D107*'W. Month'!D$10))</f>
        <v>35972.643823748651</v>
      </c>
      <c r="E44" s="141">
        <f>IF($M$3="Quantità vendute",'W Plur.'!$D92*'W. Month'!E$10,IF($M$3="Ricavi Generati",'W Plur.'!$D107*'W. Month'!E$10))</f>
        <v>35573.298869147024</v>
      </c>
      <c r="F44" s="141">
        <f>IF($M$3="Quantità vendute",'W Plur.'!$D92*'W. Month'!F$10,IF($M$3="Ricavi Generati",'W Plur.'!$D107*'W. Month'!F$10))</f>
        <v>37310.451846676369</v>
      </c>
      <c r="G44" s="141">
        <f>IF($M$3="Quantità vendute",'W Plur.'!$D92*'W. Month'!G$10,IF($M$3="Ricavi Generati",'W Plur.'!$D107*'W. Month'!G$10))</f>
        <v>38118.996399405703</v>
      </c>
      <c r="H44" s="141">
        <f>IF($M$3="Quantità vendute",'W Plur.'!$D92*'W. Month'!H$10,IF($M$3="Ricavi Generati",'W Plur.'!$D107*'W. Month'!H$10))</f>
        <v>42203.233857119085</v>
      </c>
      <c r="I44" s="141">
        <f>IF($M$3="Quantità vendute",'W Plur.'!$D92*'W. Month'!I$10,IF($M$3="Ricavi Generati",'W Plur.'!$D107*'W. Month'!I$10))</f>
        <v>41274.689088890569</v>
      </c>
      <c r="J44" s="141">
        <f>IF($M$3="Quantità vendute",'W Plur.'!$D92*'W. Month'!J$10,IF($M$3="Ricavi Generati",'W Plur.'!$D107*'W. Month'!J$10))</f>
        <v>34864.592070700775</v>
      </c>
      <c r="K44" s="141">
        <f>IF($M$3="Quantità vendute",'W Plur.'!$D92*'W. Month'!K$10,IF($M$3="Ricavi Generati",'W Plur.'!$D107*'W. Month'!K$10))</f>
        <v>34381.760006903634</v>
      </c>
      <c r="L44" s="141">
        <f>IF($M$3="Quantità vendute",'W Plur.'!$D92*'W. Month'!L$10,IF($M$3="Ricavi Generati",'W Plur.'!$D107*'W. Month'!L$10))</f>
        <v>29340.192885568482</v>
      </c>
      <c r="M44" s="141">
        <f>IF($M$3="Quantità vendute",'W Plur.'!$D92*'W. Month'!M$10,IF($M$3="Ricavi Generati",'W Plur.'!$D107*'W. Month'!M$10))</f>
        <v>30694.413694522609</v>
      </c>
      <c r="N44" s="152">
        <f>SUM(B44:M44)</f>
        <v>425183.10545454535</v>
      </c>
      <c r="O44" s="276">
        <f>'Controll Panel'!D7</f>
        <v>0</v>
      </c>
    </row>
    <row r="45" spans="1:15" ht="16.5" customHeight="1">
      <c r="A45" s="548" t="str">
        <f t="shared" ref="A45:A55" si="12">A30</f>
        <v>Revenues during lunch</v>
      </c>
      <c r="B45" s="141">
        <f>IF($M$3="Quantità vendute",'W Plur.'!$D93*'W. Month'!B$10,IF($M$3="Ricavi Generati",'W Plur.'!$D108*'W. Month'!B$10))</f>
        <v>23065.933901690853</v>
      </c>
      <c r="C45" s="141">
        <f>IF($M$3="Quantità vendute",'W Plur.'!$D93*'W. Month'!C$10,IF($M$3="Ricavi Generati",'W Plur.'!$D108*'W. Month'!C$10))</f>
        <v>22403.781594971475</v>
      </c>
      <c r="D45" s="141">
        <f>IF($M$3="Quantità vendute",'W Plur.'!$D93*'W. Month'!D$10,IF($M$3="Ricavi Generati",'W Plur.'!$D108*'W. Month'!D$10))</f>
        <v>24991.520972288534</v>
      </c>
      <c r="E45" s="141">
        <f>IF($M$3="Quantità vendute",'W Plur.'!$D93*'W. Month'!E$10,IF($M$3="Ricavi Generati",'W Plur.'!$D108*'W. Month'!E$10))</f>
        <v>24714.08131961793</v>
      </c>
      <c r="F45" s="141">
        <f>IF($M$3="Quantità vendute",'W Plur.'!$D93*'W. Month'!F$10,IF($M$3="Ricavi Generati",'W Plur.'!$D108*'W. Month'!F$10))</f>
        <v>25920.945493480423</v>
      </c>
      <c r="G45" s="141">
        <f>IF($M$3="Quantità vendute",'W Plur.'!$D93*'W. Month'!G$10,IF($M$3="Ricavi Generati",'W Plur.'!$D108*'W. Month'!G$10))</f>
        <v>26482.671182745013</v>
      </c>
      <c r="H45" s="141">
        <f>IF($M$3="Quantità vendute",'W Plur.'!$D93*'W. Month'!H$10,IF($M$3="Ricavi Generati",'W Plur.'!$D108*'W. Month'!H$10))</f>
        <v>29320.141416524839</v>
      </c>
      <c r="I45" s="141">
        <f>IF($M$3="Quantità vendute",'W Plur.'!$D93*'W. Month'!I$10,IF($M$3="Ricavi Generati",'W Plur.'!$D108*'W. Month'!I$10))</f>
        <v>28675.047156492394</v>
      </c>
      <c r="J45" s="141">
        <f>IF($M$3="Quantità vendute",'W Plur.'!$D93*'W. Month'!J$10,IF($M$3="Ricavi Generati",'W Plur.'!$D108*'W. Month'!J$10))</f>
        <v>24221.716596486855</v>
      </c>
      <c r="K45" s="141">
        <f>IF($M$3="Quantità vendute",'W Plur.'!$D93*'W. Month'!K$10,IF($M$3="Ricavi Generati",'W Plur.'!$D108*'W. Month'!K$10))</f>
        <v>23886.27537321726</v>
      </c>
      <c r="L45" s="141">
        <f>IF($M$3="Quantità vendute",'W Plur.'!$D93*'W. Month'!L$10,IF($M$3="Ricavi Generati",'W Plur.'!$D108*'W. Month'!L$10))</f>
        <v>20383.712952079157</v>
      </c>
      <c r="M45" s="141">
        <f>IF($M$3="Quantità vendute",'W Plur.'!$D93*'W. Month'!M$10,IF($M$3="Ricavi Generati",'W Plur.'!$D108*'W. Month'!M$10))</f>
        <v>21324.54004040518</v>
      </c>
      <c r="N45" s="152">
        <f t="shared" ref="N45:N55" si="13">SUM(B45:M45)</f>
        <v>295390.3679999999</v>
      </c>
      <c r="O45" s="276">
        <f>O44</f>
        <v>0</v>
      </c>
    </row>
    <row r="46" spans="1:15" ht="16.5" customHeight="1">
      <c r="A46" s="548" t="str">
        <f t="shared" si="12"/>
        <v>Revenues after lunch</v>
      </c>
      <c r="B46" s="141">
        <f>IF($M$3="Quantità vendute",'W Plur.'!$D94*'W. Month'!B$10,IF($M$3="Ricavi Generati",'W Plur.'!$D109*'W. Month'!B$10))</f>
        <v>8280.0788365044118</v>
      </c>
      <c r="C46" s="141">
        <f>IF($M$3="Quantità vendute",'W Plur.'!$D94*'W. Month'!C$10,IF($M$3="Ricavi Generati",'W Plur.'!$D109*'W. Month'!C$10))</f>
        <v>8042.3831366564291</v>
      </c>
      <c r="D46" s="141">
        <f>IF($M$3="Quantità vendute",'W Plur.'!$D94*'W. Month'!D$10,IF($M$3="Ricavi Generati",'W Plur.'!$D109*'W. Month'!D$10))</f>
        <v>8971.315220821527</v>
      </c>
      <c r="E46" s="141">
        <f>IF($M$3="Quantità vendute",'W Plur.'!$D94*'W. Month'!E$10,IF($M$3="Ricavi Generati",'W Plur.'!$D109*'W. Month'!E$10))</f>
        <v>8871.7214993500293</v>
      </c>
      <c r="F46" s="141">
        <f>IF($M$3="Quantità vendute",'W Plur.'!$D94*'W. Month'!F$10,IF($M$3="Ricavi Generati",'W Plur.'!$D109*'W. Month'!F$10))</f>
        <v>9304.9547925314364</v>
      </c>
      <c r="G46" s="141">
        <f>IF($M$3="Quantità vendute",'W Plur.'!$D94*'W. Month'!G$10,IF($M$3="Ricavi Generati",'W Plur.'!$D109*'W. Month'!G$10))</f>
        <v>9506.5999117546216</v>
      </c>
      <c r="H46" s="141">
        <f>IF($M$3="Quantità vendute",'W Plur.'!$D94*'W. Month'!H$10,IF($M$3="Ricavi Generati",'W Plur.'!$D109*'W. Month'!H$10))</f>
        <v>10525.17897003456</v>
      </c>
      <c r="I46" s="141">
        <f>IF($M$3="Quantità vendute",'W Plur.'!$D94*'W. Month'!I$10,IF($M$3="Ricavi Generati",'W Plur.'!$D109*'W. Month'!I$10))</f>
        <v>10293.606671561374</v>
      </c>
      <c r="J46" s="141">
        <f>IF($M$3="Quantità vendute",'W Plur.'!$D94*'W. Month'!J$10,IF($M$3="Ricavi Generati",'W Plur.'!$D109*'W. Month'!J$10))</f>
        <v>8694.9751884824636</v>
      </c>
      <c r="K46" s="141">
        <f>IF($M$3="Quantità vendute",'W Plur.'!$D94*'W. Month'!K$10,IF($M$3="Ricavi Generati",'W Plur.'!$D109*'W. Month'!K$10))</f>
        <v>8574.5603903856845</v>
      </c>
      <c r="L46" s="141">
        <f>IF($M$3="Quantità vendute",'W Plur.'!$D94*'W. Month'!L$10,IF($M$3="Ricavi Generati",'W Plur.'!$D109*'W. Month'!L$10))</f>
        <v>7317.2302904899552</v>
      </c>
      <c r="M46" s="141">
        <f>IF($M$3="Quantità vendute",'W Plur.'!$D94*'W. Month'!M$10,IF($M$3="Ricavi Generati",'W Plur.'!$D109*'W. Month'!M$10))</f>
        <v>7654.9630914275031</v>
      </c>
      <c r="N46" s="152">
        <f t="shared" si="13"/>
        <v>106037.568</v>
      </c>
      <c r="O46" s="276">
        <f t="shared" ref="O46:O55" si="14">O45</f>
        <v>0</v>
      </c>
    </row>
    <row r="47" spans="1:15" ht="16.5" customHeight="1">
      <c r="A47" s="548" t="str">
        <f t="shared" si="12"/>
        <v>Revenues during dinner</v>
      </c>
      <c r="B47" s="141">
        <f>IF($M$3="Quantità vendute",'W Plur.'!$D95*'W. Month'!B$10,IF($M$3="Ricavi Generati",'W Plur.'!$D110*'W. Month'!B$10))</f>
        <v>3010.9377587288759</v>
      </c>
      <c r="C47" s="141">
        <f>IF($M$3="Quantità vendute",'W Plur.'!$D95*'W. Month'!C$10,IF($M$3="Ricavi Generati",'W Plur.'!$D110*'W. Month'!C$10))</f>
        <v>2924.5029587841555</v>
      </c>
      <c r="D47" s="141">
        <f>IF($M$3="Quantità vendute",'W Plur.'!$D95*'W. Month'!D$10,IF($M$3="Ricavi Generati",'W Plur.'!$D110*'W. Month'!D$10))</f>
        <v>3262.2964439351003</v>
      </c>
      <c r="E47" s="141">
        <f>IF($M$3="Quantità vendute",'W Plur.'!$D95*'W. Month'!E$10,IF($M$3="Ricavi Generati",'W Plur.'!$D110*'W. Month'!E$10))</f>
        <v>3226.0805452181917</v>
      </c>
      <c r="F47" s="141">
        <f>IF($M$3="Quantità vendute",'W Plur.'!$D95*'W. Month'!F$10,IF($M$3="Ricavi Generati",'W Plur.'!$D110*'W. Month'!F$10))</f>
        <v>3383.6199245568855</v>
      </c>
      <c r="G47" s="141">
        <f>IF($M$3="Quantità vendute",'W Plur.'!$D95*'W. Month'!G$10,IF($M$3="Ricavi Generati",'W Plur.'!$D110*'W. Month'!G$10))</f>
        <v>3456.9454224562255</v>
      </c>
      <c r="H47" s="141">
        <f>IF($M$3="Quantità vendute",'W Plur.'!$D95*'W. Month'!H$10,IF($M$3="Ricavi Generati",'W Plur.'!$D110*'W. Month'!H$10))</f>
        <v>3827.3378072852938</v>
      </c>
      <c r="I47" s="141">
        <f>IF($M$3="Quantità vendute",'W Plur.'!$D95*'W. Month'!I$10,IF($M$3="Ricavi Generati",'W Plur.'!$D110*'W. Month'!I$10))</f>
        <v>3743.1296987495903</v>
      </c>
      <c r="J47" s="141">
        <f>IF($M$3="Quantità vendute",'W Plur.'!$D95*'W. Month'!J$10,IF($M$3="Ricavi Generati",'W Plur.'!$D110*'W. Month'!J$10))</f>
        <v>3161.809159448168</v>
      </c>
      <c r="K47" s="141">
        <f>IF($M$3="Quantità vendute",'W Plur.'!$D95*'W. Month'!K$10,IF($M$3="Ricavi Generati",'W Plur.'!$D110*'W. Month'!K$10))</f>
        <v>3118.0219601402482</v>
      </c>
      <c r="L47" s="141">
        <f>IF($M$3="Quantità vendute",'W Plur.'!$D95*'W. Month'!L$10,IF($M$3="Ricavi Generati",'W Plur.'!$D110*'W. Month'!L$10))</f>
        <v>2660.8110147236198</v>
      </c>
      <c r="M47" s="141">
        <f>IF($M$3="Quantità vendute",'W Plur.'!$D95*'W. Month'!M$10,IF($M$3="Ricavi Generati",'W Plur.'!$D110*'W. Month'!M$10))</f>
        <v>2783.6229423372733</v>
      </c>
      <c r="N47" s="152">
        <f t="shared" si="13"/>
        <v>38559.115636363626</v>
      </c>
      <c r="O47" s="276">
        <f t="shared" si="14"/>
        <v>0</v>
      </c>
    </row>
    <row r="48" spans="1:15" ht="16.5" hidden="1" customHeight="1">
      <c r="A48" s="548" t="str">
        <f t="shared" si="12"/>
        <v>//</v>
      </c>
      <c r="B48" s="141">
        <f>IF($M$3="Quantità vendute",'W Plur.'!$D96*'W. Month'!B$10,IF($M$3="Ricavi Generati",'W Plur.'!$D111*'W. Month'!B$10))</f>
        <v>0</v>
      </c>
      <c r="C48" s="141">
        <f>IF($M$3="Quantità vendute",'W Plur.'!$D96*'W. Month'!C$10,IF($M$3="Ricavi Generati",'W Plur.'!$D111*'W. Month'!C$10))</f>
        <v>0</v>
      </c>
      <c r="D48" s="141">
        <f>IF($M$3="Quantità vendute",'W Plur.'!$D96*'W. Month'!D$10,IF($M$3="Ricavi Generati",'W Plur.'!$D111*'W. Month'!D$10))</f>
        <v>0</v>
      </c>
      <c r="E48" s="141">
        <f>IF($M$3="Quantità vendute",'W Plur.'!$D96*'W. Month'!E$10,IF($M$3="Ricavi Generati",'W Plur.'!$D111*'W. Month'!E$10))</f>
        <v>0</v>
      </c>
      <c r="F48" s="141">
        <f>IF($M$3="Quantità vendute",'W Plur.'!$D96*'W. Month'!F$10,IF($M$3="Ricavi Generati",'W Plur.'!$D111*'W. Month'!F$10))</f>
        <v>0</v>
      </c>
      <c r="G48" s="141">
        <f>IF($M$3="Quantità vendute",'W Plur.'!$D96*'W. Month'!G$10,IF($M$3="Ricavi Generati",'W Plur.'!$D111*'W. Month'!G$10))</f>
        <v>0</v>
      </c>
      <c r="H48" s="141">
        <f>IF($M$3="Quantità vendute",'W Plur.'!$D96*'W. Month'!H$10,IF($M$3="Ricavi Generati",'W Plur.'!$D111*'W. Month'!H$10))</f>
        <v>0</v>
      </c>
      <c r="I48" s="141">
        <f>IF($M$3="Quantità vendute",'W Plur.'!$D96*'W. Month'!I$10,IF($M$3="Ricavi Generati",'W Plur.'!$D111*'W. Month'!I$10))</f>
        <v>0</v>
      </c>
      <c r="J48" s="141">
        <f>IF($M$3="Quantità vendute",'W Plur.'!$D96*'W. Month'!J$10,IF($M$3="Ricavi Generati",'W Plur.'!$D111*'W. Month'!J$10))</f>
        <v>0</v>
      </c>
      <c r="K48" s="141">
        <f>IF($M$3="Quantità vendute",'W Plur.'!$D96*'W. Month'!K$10,IF($M$3="Ricavi Generati",'W Plur.'!$D111*'W. Month'!K$10))</f>
        <v>0</v>
      </c>
      <c r="L48" s="141">
        <f>IF($M$3="Quantità vendute",'W Plur.'!$D96*'W. Month'!L$10,IF($M$3="Ricavi Generati",'W Plur.'!$D111*'W. Month'!L$10))</f>
        <v>0</v>
      </c>
      <c r="M48" s="141">
        <f>IF($M$3="Quantità vendute",'W Plur.'!$D96*'W. Month'!M$10,IF($M$3="Ricavi Generati",'W Plur.'!$D111*'W. Month'!M$10))</f>
        <v>0</v>
      </c>
      <c r="N48" s="152">
        <f t="shared" si="13"/>
        <v>0</v>
      </c>
      <c r="O48" s="276">
        <f t="shared" si="14"/>
        <v>0</v>
      </c>
    </row>
    <row r="49" spans="1:15" ht="16.5" hidden="1" customHeight="1">
      <c r="A49" s="548" t="str">
        <f t="shared" si="12"/>
        <v>//</v>
      </c>
      <c r="B49" s="141">
        <f>IF($M$3="Quantità vendute",'W Plur.'!$D97*'W. Month'!B$10,IF($M$3="Ricavi Generati",'W Plur.'!$D112*'W. Month'!B$10))</f>
        <v>0</v>
      </c>
      <c r="C49" s="141">
        <f>IF($M$3="Quantità vendute",'W Plur.'!$D97*'W. Month'!C$10,IF($M$3="Ricavi Generati",'W Plur.'!$D112*'W. Month'!C$10))</f>
        <v>0</v>
      </c>
      <c r="D49" s="141">
        <f>IF($M$3="Quantità vendute",'W Plur.'!$D97*'W. Month'!D$10,IF($M$3="Ricavi Generati",'W Plur.'!$D112*'W. Month'!D$10))</f>
        <v>0</v>
      </c>
      <c r="E49" s="141">
        <f>IF($M$3="Quantità vendute",'W Plur.'!$D97*'W. Month'!E$10,IF($M$3="Ricavi Generati",'W Plur.'!$D112*'W. Month'!E$10))</f>
        <v>0</v>
      </c>
      <c r="F49" s="141">
        <f>IF($M$3="Quantità vendute",'W Plur.'!$D97*'W. Month'!F$10,IF($M$3="Ricavi Generati",'W Plur.'!$D112*'W. Month'!F$10))</f>
        <v>0</v>
      </c>
      <c r="G49" s="141">
        <f>IF($M$3="Quantità vendute",'W Plur.'!$D97*'W. Month'!G$10,IF($M$3="Ricavi Generati",'W Plur.'!$D112*'W. Month'!G$10))</f>
        <v>0</v>
      </c>
      <c r="H49" s="141">
        <f>IF($M$3="Quantità vendute",'W Plur.'!$D97*'W. Month'!H$10,IF($M$3="Ricavi Generati",'W Plur.'!$D112*'W. Month'!H$10))</f>
        <v>0</v>
      </c>
      <c r="I49" s="141">
        <f>IF($M$3="Quantità vendute",'W Plur.'!$D97*'W. Month'!I$10,IF($M$3="Ricavi Generati",'W Plur.'!$D112*'W. Month'!I$10))</f>
        <v>0</v>
      </c>
      <c r="J49" s="141">
        <f>IF($M$3="Quantità vendute",'W Plur.'!$D97*'W. Month'!J$10,IF($M$3="Ricavi Generati",'W Plur.'!$D112*'W. Month'!J$10))</f>
        <v>0</v>
      </c>
      <c r="K49" s="141">
        <f>IF($M$3="Quantità vendute",'W Plur.'!$D97*'W. Month'!K$10,IF($M$3="Ricavi Generati",'W Plur.'!$D112*'W. Month'!K$10))</f>
        <v>0</v>
      </c>
      <c r="L49" s="141">
        <f>IF($M$3="Quantità vendute",'W Plur.'!$D97*'W. Month'!L$10,IF($M$3="Ricavi Generati",'W Plur.'!$D112*'W. Month'!L$10))</f>
        <v>0</v>
      </c>
      <c r="M49" s="141">
        <f>IF($M$3="Quantità vendute",'W Plur.'!$D97*'W. Month'!M$10,IF($M$3="Ricavi Generati",'W Plur.'!$D112*'W. Month'!M$10))</f>
        <v>0</v>
      </c>
      <c r="N49" s="152">
        <f t="shared" si="13"/>
        <v>0</v>
      </c>
      <c r="O49" s="276">
        <f t="shared" si="14"/>
        <v>0</v>
      </c>
    </row>
    <row r="50" spans="1:15" ht="16.5" hidden="1" customHeight="1">
      <c r="A50" s="548" t="str">
        <f t="shared" si="12"/>
        <v>//</v>
      </c>
      <c r="B50" s="141">
        <f>IF($M$3="Quantità vendute",'W Plur.'!$D98*'W. Month'!B$10,IF($M$3="Ricavi Generati",'W Plur.'!$D113*'W. Month'!B$10))</f>
        <v>0</v>
      </c>
      <c r="C50" s="141">
        <f>IF($M$3="Quantità vendute",'W Plur.'!$D98*'W. Month'!C$10,IF($M$3="Ricavi Generati",'W Plur.'!$D113*'W. Month'!C$10))</f>
        <v>0</v>
      </c>
      <c r="D50" s="141">
        <f>IF($M$3="Quantità vendute",'W Plur.'!$D98*'W. Month'!D$10,IF($M$3="Ricavi Generati",'W Plur.'!$D113*'W. Month'!D$10))</f>
        <v>0</v>
      </c>
      <c r="E50" s="141">
        <f>IF($M$3="Quantità vendute",'W Plur.'!$D98*'W. Month'!E$10,IF($M$3="Ricavi Generati",'W Plur.'!$D113*'W. Month'!E$10))</f>
        <v>0</v>
      </c>
      <c r="F50" s="141">
        <f>IF($M$3="Quantità vendute",'W Plur.'!$D98*'W. Month'!F$10,IF($M$3="Ricavi Generati",'W Plur.'!$D113*'W. Month'!F$10))</f>
        <v>0</v>
      </c>
      <c r="G50" s="141">
        <f>IF($M$3="Quantità vendute",'W Plur.'!$D98*'W. Month'!G$10,IF($M$3="Ricavi Generati",'W Plur.'!$D113*'W. Month'!G$10))</f>
        <v>0</v>
      </c>
      <c r="H50" s="141">
        <f>IF($M$3="Quantità vendute",'W Plur.'!$D98*'W. Month'!H$10,IF($M$3="Ricavi Generati",'W Plur.'!$D113*'W. Month'!H$10))</f>
        <v>0</v>
      </c>
      <c r="I50" s="141">
        <f>IF($M$3="Quantità vendute",'W Plur.'!$D98*'W. Month'!I$10,IF($M$3="Ricavi Generati",'W Plur.'!$D113*'W. Month'!I$10))</f>
        <v>0</v>
      </c>
      <c r="J50" s="141">
        <f>IF($M$3="Quantità vendute",'W Plur.'!$D98*'W. Month'!J$10,IF($M$3="Ricavi Generati",'W Plur.'!$D113*'W. Month'!J$10))</f>
        <v>0</v>
      </c>
      <c r="K50" s="141">
        <f>IF($M$3="Quantità vendute",'W Plur.'!$D98*'W. Month'!K$10,IF($M$3="Ricavi Generati",'W Plur.'!$D113*'W. Month'!K$10))</f>
        <v>0</v>
      </c>
      <c r="L50" s="141">
        <f>IF($M$3="Quantità vendute",'W Plur.'!$D98*'W. Month'!L$10,IF($M$3="Ricavi Generati",'W Plur.'!$D113*'W. Month'!L$10))</f>
        <v>0</v>
      </c>
      <c r="M50" s="141">
        <f>IF($M$3="Quantità vendute",'W Plur.'!$D98*'W. Month'!M$10,IF($M$3="Ricavi Generati",'W Plur.'!$D113*'W. Month'!M$10))</f>
        <v>0</v>
      </c>
      <c r="N50" s="152">
        <f t="shared" si="13"/>
        <v>0</v>
      </c>
      <c r="O50" s="276">
        <f t="shared" si="14"/>
        <v>0</v>
      </c>
    </row>
    <row r="51" spans="1:15" ht="16.5" hidden="1" customHeight="1">
      <c r="A51" s="548" t="str">
        <f t="shared" si="12"/>
        <v>//</v>
      </c>
      <c r="B51" s="141">
        <f>IF($M$3="Quantità vendute",'W Plur.'!$D99*'W. Month'!B$10,IF($M$3="Ricavi Generati",'W Plur.'!$D114*'W. Month'!B$10))</f>
        <v>0</v>
      </c>
      <c r="C51" s="141">
        <f>IF($M$3="Quantità vendute",'W Plur.'!$D99*'W. Month'!C$10,IF($M$3="Ricavi Generati",'W Plur.'!$D114*'W. Month'!C$10))</f>
        <v>0</v>
      </c>
      <c r="D51" s="141">
        <f>IF($M$3="Quantità vendute",'W Plur.'!$D99*'W. Month'!D$10,IF($M$3="Ricavi Generati",'W Plur.'!$D114*'W. Month'!D$10))</f>
        <v>0</v>
      </c>
      <c r="E51" s="141">
        <f>IF($M$3="Quantità vendute",'W Plur.'!$D99*'W. Month'!E$10,IF($M$3="Ricavi Generati",'W Plur.'!$D114*'W. Month'!E$10))</f>
        <v>0</v>
      </c>
      <c r="F51" s="141">
        <f>IF($M$3="Quantità vendute",'W Plur.'!$D99*'W. Month'!F$10,IF($M$3="Ricavi Generati",'W Plur.'!$D114*'W. Month'!F$10))</f>
        <v>0</v>
      </c>
      <c r="G51" s="141">
        <f>IF($M$3="Quantità vendute",'W Plur.'!$D99*'W. Month'!G$10,IF($M$3="Ricavi Generati",'W Plur.'!$D114*'W. Month'!G$10))</f>
        <v>0</v>
      </c>
      <c r="H51" s="141">
        <f>IF($M$3="Quantità vendute",'W Plur.'!$D99*'W. Month'!H$10,IF($M$3="Ricavi Generati",'W Plur.'!$D114*'W. Month'!H$10))</f>
        <v>0</v>
      </c>
      <c r="I51" s="141">
        <f>IF($M$3="Quantità vendute",'W Plur.'!$D99*'W. Month'!I$10,IF($M$3="Ricavi Generati",'W Plur.'!$D114*'W. Month'!I$10))</f>
        <v>0</v>
      </c>
      <c r="J51" s="141">
        <f>IF($M$3="Quantità vendute",'W Plur.'!$D99*'W. Month'!J$10,IF($M$3="Ricavi Generati",'W Plur.'!$D114*'W. Month'!J$10))</f>
        <v>0</v>
      </c>
      <c r="K51" s="141">
        <f>IF($M$3="Quantità vendute",'W Plur.'!$D99*'W. Month'!K$10,IF($M$3="Ricavi Generati",'W Plur.'!$D114*'W. Month'!K$10))</f>
        <v>0</v>
      </c>
      <c r="L51" s="141">
        <f>IF($M$3="Quantità vendute",'W Plur.'!$D99*'W. Month'!L$10,IF($M$3="Ricavi Generati",'W Plur.'!$D114*'W. Month'!L$10))</f>
        <v>0</v>
      </c>
      <c r="M51" s="141">
        <f>IF($M$3="Quantità vendute",'W Plur.'!$D99*'W. Month'!M$10,IF($M$3="Ricavi Generati",'W Plur.'!$D114*'W. Month'!M$10))</f>
        <v>0</v>
      </c>
      <c r="N51" s="152">
        <f t="shared" si="13"/>
        <v>0</v>
      </c>
      <c r="O51" s="276">
        <f t="shared" si="14"/>
        <v>0</v>
      </c>
    </row>
    <row r="52" spans="1:15" ht="16.5" hidden="1" customHeight="1">
      <c r="A52" s="548" t="str">
        <f t="shared" si="12"/>
        <v>//</v>
      </c>
      <c r="B52" s="141">
        <f>IF($M$3="Quantità vendute",'W Plur.'!$D100*'W. Month'!B$10,IF($M$3="Ricavi Generati",'W Plur.'!$D115*'W. Month'!B$10))</f>
        <v>0</v>
      </c>
      <c r="C52" s="141">
        <f>IF($M$3="Quantità vendute",'W Plur.'!$D100*'W. Month'!C$10,IF($M$3="Ricavi Generati",'W Plur.'!$D115*'W. Month'!C$10))</f>
        <v>0</v>
      </c>
      <c r="D52" s="141">
        <f>IF($M$3="Quantità vendute",'W Plur.'!$D100*'W. Month'!D$10,IF($M$3="Ricavi Generati",'W Plur.'!$D115*'W. Month'!D$10))</f>
        <v>0</v>
      </c>
      <c r="E52" s="141">
        <f>IF($M$3="Quantità vendute",'W Plur.'!$D100*'W. Month'!E$10,IF($M$3="Ricavi Generati",'W Plur.'!$D115*'W. Month'!E$10))</f>
        <v>0</v>
      </c>
      <c r="F52" s="141">
        <f>IF($M$3="Quantità vendute",'W Plur.'!$D100*'W. Month'!F$10,IF($M$3="Ricavi Generati",'W Plur.'!$D115*'W. Month'!F$10))</f>
        <v>0</v>
      </c>
      <c r="G52" s="141">
        <f>IF($M$3="Quantità vendute",'W Plur.'!$D100*'W. Month'!G$10,IF($M$3="Ricavi Generati",'W Plur.'!$D115*'W. Month'!G$10))</f>
        <v>0</v>
      </c>
      <c r="H52" s="141">
        <f>IF($M$3="Quantità vendute",'W Plur.'!$D100*'W. Month'!H$10,IF($M$3="Ricavi Generati",'W Plur.'!$D115*'W. Month'!H$10))</f>
        <v>0</v>
      </c>
      <c r="I52" s="141">
        <f>IF($M$3="Quantità vendute",'W Plur.'!$D100*'W. Month'!I$10,IF($M$3="Ricavi Generati",'W Plur.'!$D115*'W. Month'!I$10))</f>
        <v>0</v>
      </c>
      <c r="J52" s="141">
        <f>IF($M$3="Quantità vendute",'W Plur.'!$D100*'W. Month'!J$10,IF($M$3="Ricavi Generati",'W Plur.'!$D115*'W. Month'!J$10))</f>
        <v>0</v>
      </c>
      <c r="K52" s="141">
        <f>IF($M$3="Quantità vendute",'W Plur.'!$D100*'W. Month'!K$10,IF($M$3="Ricavi Generati",'W Plur.'!$D115*'W. Month'!K$10))</f>
        <v>0</v>
      </c>
      <c r="L52" s="141">
        <f>IF($M$3="Quantità vendute",'W Plur.'!$D100*'W. Month'!L$10,IF($M$3="Ricavi Generati",'W Plur.'!$D115*'W. Month'!L$10))</f>
        <v>0</v>
      </c>
      <c r="M52" s="141">
        <f>IF($M$3="Quantità vendute",'W Plur.'!$D100*'W. Month'!M$10,IF($M$3="Ricavi Generati",'W Plur.'!$D115*'W. Month'!M$10))</f>
        <v>0</v>
      </c>
      <c r="N52" s="152">
        <f t="shared" si="13"/>
        <v>0</v>
      </c>
      <c r="O52" s="276">
        <f t="shared" si="14"/>
        <v>0</v>
      </c>
    </row>
    <row r="53" spans="1:15" ht="16.5" hidden="1" customHeight="1">
      <c r="A53" s="548" t="str">
        <f t="shared" si="12"/>
        <v>//</v>
      </c>
      <c r="B53" s="141">
        <f>IF($M$3="Quantità vendute",'W Plur.'!$D101*'W. Month'!B$10,IF($M$3="Ricavi Generati",'W Plur.'!$D116*'W. Month'!B$10))</f>
        <v>0</v>
      </c>
      <c r="C53" s="141">
        <f>IF($M$3="Quantità vendute",'W Plur.'!$D101*'W. Month'!C$10,IF($M$3="Ricavi Generati",'W Plur.'!$D116*'W. Month'!C$10))</f>
        <v>0</v>
      </c>
      <c r="D53" s="141">
        <f>IF($M$3="Quantità vendute",'W Plur.'!$D101*'W. Month'!D$10,IF($M$3="Ricavi Generati",'W Plur.'!$D116*'W. Month'!D$10))</f>
        <v>0</v>
      </c>
      <c r="E53" s="141">
        <f>IF($M$3="Quantità vendute",'W Plur.'!$D101*'W. Month'!E$10,IF($M$3="Ricavi Generati",'W Plur.'!$D116*'W. Month'!E$10))</f>
        <v>0</v>
      </c>
      <c r="F53" s="141">
        <f>IF($M$3="Quantità vendute",'W Plur.'!$D101*'W. Month'!F$10,IF($M$3="Ricavi Generati",'W Plur.'!$D116*'W. Month'!F$10))</f>
        <v>0</v>
      </c>
      <c r="G53" s="141">
        <f>IF($M$3="Quantità vendute",'W Plur.'!$D101*'W. Month'!G$10,IF($M$3="Ricavi Generati",'W Plur.'!$D116*'W. Month'!G$10))</f>
        <v>0</v>
      </c>
      <c r="H53" s="141">
        <f>IF($M$3="Quantità vendute",'W Plur.'!$D101*'W. Month'!H$10,IF($M$3="Ricavi Generati",'W Plur.'!$D116*'W. Month'!H$10))</f>
        <v>0</v>
      </c>
      <c r="I53" s="141">
        <f>IF($M$3="Quantità vendute",'W Plur.'!$D101*'W. Month'!I$10,IF($M$3="Ricavi Generati",'W Plur.'!$D116*'W. Month'!I$10))</f>
        <v>0</v>
      </c>
      <c r="J53" s="141">
        <f>IF($M$3="Quantità vendute",'W Plur.'!$D101*'W. Month'!J$10,IF($M$3="Ricavi Generati",'W Plur.'!$D116*'W. Month'!J$10))</f>
        <v>0</v>
      </c>
      <c r="K53" s="141">
        <f>IF($M$3="Quantità vendute",'W Plur.'!$D101*'W. Month'!K$10,IF($M$3="Ricavi Generati",'W Plur.'!$D116*'W. Month'!K$10))</f>
        <v>0</v>
      </c>
      <c r="L53" s="141">
        <f>IF($M$3="Quantità vendute",'W Plur.'!$D101*'W. Month'!L$10,IF($M$3="Ricavi Generati",'W Plur.'!$D116*'W. Month'!L$10))</f>
        <v>0</v>
      </c>
      <c r="M53" s="141">
        <f>IF($M$3="Quantità vendute",'W Plur.'!$D101*'W. Month'!M$10,IF($M$3="Ricavi Generati",'W Plur.'!$D116*'W. Month'!M$10))</f>
        <v>0</v>
      </c>
      <c r="N53" s="152">
        <f t="shared" si="13"/>
        <v>0</v>
      </c>
      <c r="O53" s="276">
        <f t="shared" si="14"/>
        <v>0</v>
      </c>
    </row>
    <row r="54" spans="1:15" ht="16.5" hidden="1" customHeight="1">
      <c r="A54" s="548" t="str">
        <f t="shared" si="12"/>
        <v>//</v>
      </c>
      <c r="B54" s="141">
        <f>IF($M$3="Quantità vendute",'W Plur.'!$D102*'W. Month'!B$10,IF($M$3="Ricavi Generati",'W Plur.'!$D117*'W. Month'!B$10))</f>
        <v>0</v>
      </c>
      <c r="C54" s="141">
        <f>IF($M$3="Quantità vendute",'W Plur.'!$D102*'W. Month'!C$10,IF($M$3="Ricavi Generati",'W Plur.'!$D117*'W. Month'!C$10))</f>
        <v>0</v>
      </c>
      <c r="D54" s="141">
        <f>IF($M$3="Quantità vendute",'W Plur.'!$D102*'W. Month'!D$10,IF($M$3="Ricavi Generati",'W Plur.'!$D117*'W. Month'!D$10))</f>
        <v>0</v>
      </c>
      <c r="E54" s="141">
        <f>IF($M$3="Quantità vendute",'W Plur.'!$D102*'W. Month'!E$10,IF($M$3="Ricavi Generati",'W Plur.'!$D117*'W. Month'!E$10))</f>
        <v>0</v>
      </c>
      <c r="F54" s="141">
        <f>IF($M$3="Quantità vendute",'W Plur.'!$D102*'W. Month'!F$10,IF($M$3="Ricavi Generati",'W Plur.'!$D117*'W. Month'!F$10))</f>
        <v>0</v>
      </c>
      <c r="G54" s="141">
        <f>IF($M$3="Quantità vendute",'W Plur.'!$D102*'W. Month'!G$10,IF($M$3="Ricavi Generati",'W Plur.'!$D117*'W. Month'!G$10))</f>
        <v>0</v>
      </c>
      <c r="H54" s="141">
        <f>IF($M$3="Quantità vendute",'W Plur.'!$D102*'W. Month'!H$10,IF($M$3="Ricavi Generati",'W Plur.'!$D117*'W. Month'!H$10))</f>
        <v>0</v>
      </c>
      <c r="I54" s="141">
        <f>IF($M$3="Quantità vendute",'W Plur.'!$D102*'W. Month'!I$10,IF($M$3="Ricavi Generati",'W Plur.'!$D117*'W. Month'!I$10))</f>
        <v>0</v>
      </c>
      <c r="J54" s="141">
        <f>IF($M$3="Quantità vendute",'W Plur.'!$D102*'W. Month'!J$10,IF($M$3="Ricavi Generati",'W Plur.'!$D117*'W. Month'!J$10))</f>
        <v>0</v>
      </c>
      <c r="K54" s="141">
        <f>IF($M$3="Quantità vendute",'W Plur.'!$D102*'W. Month'!K$10,IF($M$3="Ricavi Generati",'W Plur.'!$D117*'W. Month'!K$10))</f>
        <v>0</v>
      </c>
      <c r="L54" s="141">
        <f>IF($M$3="Quantità vendute",'W Plur.'!$D102*'W. Month'!L$10,IF($M$3="Ricavi Generati",'W Plur.'!$D117*'W. Month'!L$10))</f>
        <v>0</v>
      </c>
      <c r="M54" s="141">
        <f>IF($M$3="Quantità vendute",'W Plur.'!$D102*'W. Month'!M$10,IF($M$3="Ricavi Generati",'W Plur.'!$D117*'W. Month'!M$10))</f>
        <v>0</v>
      </c>
      <c r="N54" s="152">
        <f t="shared" si="13"/>
        <v>0</v>
      </c>
      <c r="O54" s="276">
        <f t="shared" si="14"/>
        <v>0</v>
      </c>
    </row>
    <row r="55" spans="1:15" ht="16.5" hidden="1" customHeight="1">
      <c r="A55" s="548" t="str">
        <f t="shared" si="12"/>
        <v>//</v>
      </c>
      <c r="B55" s="141">
        <f>IF($M$3="Quantità vendute",'W Plur.'!$D103*'W. Month'!B$10,IF($M$3="Ricavi Generati",'W Plur.'!$D118*'W. Month'!B$10))</f>
        <v>0</v>
      </c>
      <c r="C55" s="141">
        <f>IF($M$3="Quantità vendute",'W Plur.'!$D103*'W. Month'!C$10,IF($M$3="Ricavi Generati",'W Plur.'!$D118*'W. Month'!C$10))</f>
        <v>0</v>
      </c>
      <c r="D55" s="141">
        <f>IF($M$3="Quantità vendute",'W Plur.'!$D103*'W. Month'!D$10,IF($M$3="Ricavi Generati",'W Plur.'!$D118*'W. Month'!D$10))</f>
        <v>0</v>
      </c>
      <c r="E55" s="141">
        <f>IF($M$3="Quantità vendute",'W Plur.'!$D103*'W. Month'!E$10,IF($M$3="Ricavi Generati",'W Plur.'!$D118*'W. Month'!E$10))</f>
        <v>0</v>
      </c>
      <c r="F55" s="141">
        <f>IF($M$3="Quantità vendute",'W Plur.'!$D103*'W. Month'!F$10,IF($M$3="Ricavi Generati",'W Plur.'!$D118*'W. Month'!F$10))</f>
        <v>0</v>
      </c>
      <c r="G55" s="141">
        <f>IF($M$3="Quantità vendute",'W Plur.'!$D103*'W. Month'!G$10,IF($M$3="Ricavi Generati",'W Plur.'!$D118*'W. Month'!G$10))</f>
        <v>0</v>
      </c>
      <c r="H55" s="141">
        <f>IF($M$3="Quantità vendute",'W Plur.'!$D103*'W. Month'!H$10,IF($M$3="Ricavi Generati",'W Plur.'!$D118*'W. Month'!H$10))</f>
        <v>0</v>
      </c>
      <c r="I55" s="141">
        <f>IF($M$3="Quantità vendute",'W Plur.'!$D103*'W. Month'!I$10,IF($M$3="Ricavi Generati",'W Plur.'!$D118*'W. Month'!I$10))</f>
        <v>0</v>
      </c>
      <c r="J55" s="141">
        <f>IF($M$3="Quantità vendute",'W Plur.'!$D103*'W. Month'!J$10,IF($M$3="Ricavi Generati",'W Plur.'!$D118*'W. Month'!J$10))</f>
        <v>0</v>
      </c>
      <c r="K55" s="141">
        <f>IF($M$3="Quantità vendute",'W Plur.'!$D103*'W. Month'!K$10,IF($M$3="Ricavi Generati",'W Plur.'!$D118*'W. Month'!K$10))</f>
        <v>0</v>
      </c>
      <c r="L55" s="141">
        <f>IF($M$3="Quantità vendute",'W Plur.'!$D103*'W. Month'!L$10,IF($M$3="Ricavi Generati",'W Plur.'!$D118*'W. Month'!L$10))</f>
        <v>0</v>
      </c>
      <c r="M55" s="141">
        <f>IF($M$3="Quantità vendute",'W Plur.'!$D103*'W. Month'!M$10,IF($M$3="Ricavi Generati",'W Plur.'!$D118*'W. Month'!M$10))</f>
        <v>0</v>
      </c>
      <c r="N55" s="152">
        <f t="shared" si="13"/>
        <v>0</v>
      </c>
      <c r="O55" s="276">
        <f t="shared" si="14"/>
        <v>0</v>
      </c>
    </row>
    <row r="56" spans="1:15" ht="16.5" customHeight="1" thickBot="1">
      <c r="A56" s="270" t="str">
        <f>A41</f>
        <v>Total</v>
      </c>
      <c r="B56" s="277">
        <f>SUM(B44:B55)</f>
        <v>67557.915961479157</v>
      </c>
      <c r="C56" s="277">
        <f t="shared" ref="C56:M56" si="15">SUM(C44:C55)</f>
        <v>65618.535137719489</v>
      </c>
      <c r="D56" s="277">
        <f t="shared" si="15"/>
        <v>73197.776460793815</v>
      </c>
      <c r="E56" s="277">
        <f t="shared" si="15"/>
        <v>72385.18223333318</v>
      </c>
      <c r="F56" s="277">
        <f t="shared" si="15"/>
        <v>75919.972057245119</v>
      </c>
      <c r="G56" s="277">
        <f t="shared" si="15"/>
        <v>77565.212916361561</v>
      </c>
      <c r="H56" s="277">
        <f t="shared" si="15"/>
        <v>85875.892050963768</v>
      </c>
      <c r="I56" s="277">
        <f t="shared" si="15"/>
        <v>83986.472615693914</v>
      </c>
      <c r="J56" s="277">
        <f t="shared" si="15"/>
        <v>70943.093015118255</v>
      </c>
      <c r="K56" s="277">
        <f t="shared" si="15"/>
        <v>69960.617730646831</v>
      </c>
      <c r="L56" s="277">
        <f t="shared" si="15"/>
        <v>59701.947142861216</v>
      </c>
      <c r="M56" s="277">
        <f t="shared" si="15"/>
        <v>62457.539768692564</v>
      </c>
      <c r="N56" s="277">
        <f>SUM(B56:M56)</f>
        <v>865170.15709090896</v>
      </c>
      <c r="O56" s="278">
        <f>AVERAGE(O44:O55)</f>
        <v>0</v>
      </c>
    </row>
    <row r="57" spans="1:15" ht="16.5" customHeight="1" thickTop="1">
      <c r="B57" s="280"/>
      <c r="C57" s="280"/>
      <c r="D57" s="280"/>
      <c r="E57" s="280"/>
      <c r="F57" s="280"/>
      <c r="G57" s="280"/>
      <c r="H57" s="280"/>
      <c r="I57" s="280"/>
      <c r="J57" s="280"/>
      <c r="K57" s="280"/>
      <c r="L57" s="280"/>
      <c r="M57" s="280"/>
      <c r="N57" s="280"/>
      <c r="O57" s="280"/>
    </row>
    <row r="58" spans="1:15" ht="16.5" customHeight="1" thickBot="1">
      <c r="A58" s="264">
        <f>'W Plur.'!E5</f>
        <v>2028</v>
      </c>
      <c r="B58" s="279" t="str">
        <f t="shared" ref="B58:N58" si="16">B43</f>
        <v>January</v>
      </c>
      <c r="C58" s="279" t="str">
        <f t="shared" si="16"/>
        <v>February</v>
      </c>
      <c r="D58" s="279" t="str">
        <f t="shared" si="16"/>
        <v>March</v>
      </c>
      <c r="E58" s="279" t="str">
        <f t="shared" si="16"/>
        <v>April</v>
      </c>
      <c r="F58" s="279" t="str">
        <f t="shared" si="16"/>
        <v>May</v>
      </c>
      <c r="G58" s="279" t="str">
        <f t="shared" si="16"/>
        <v>June</v>
      </c>
      <c r="H58" s="279" t="str">
        <f t="shared" si="16"/>
        <v>July</v>
      </c>
      <c r="I58" s="279" t="str">
        <f t="shared" si="16"/>
        <v>August</v>
      </c>
      <c r="J58" s="279" t="str">
        <f t="shared" si="16"/>
        <v>September</v>
      </c>
      <c r="K58" s="279" t="str">
        <f t="shared" si="16"/>
        <v>October</v>
      </c>
      <c r="L58" s="279" t="str">
        <f t="shared" si="16"/>
        <v>November</v>
      </c>
      <c r="M58" s="279" t="str">
        <f t="shared" si="16"/>
        <v>December</v>
      </c>
      <c r="N58" s="279" t="str">
        <f t="shared" si="16"/>
        <v>Sum</v>
      </c>
      <c r="O58" s="279" t="s">
        <v>7</v>
      </c>
    </row>
    <row r="59" spans="1:15" ht="16.5" customHeight="1" thickTop="1">
      <c r="A59" s="548" t="str">
        <f t="shared" ref="A59:A71" si="17">A44</f>
        <v>Revenues before lunch</v>
      </c>
      <c r="B59" s="141">
        <f>IF($M$3="Quantità vendute",'W Plur.'!$E92*'W. Month'!B$10,IF($M$3="Ricavi Generati",'W Plur.'!$E107*'W. Month'!B$10))</f>
        <v>35647.352393522226</v>
      </c>
      <c r="C59" s="141">
        <f>IF($M$3="Quantità vendute",'W Plur.'!$E92*'W. Month'!C$10,IF($M$3="Ricavi Generati",'W Plur.'!$E107*'W. Month'!C$10))</f>
        <v>34624.026101319556</v>
      </c>
      <c r="D59" s="141">
        <f>IF($M$3="Quantità vendute",'W Plur.'!$E92*'W. Month'!D$10,IF($M$3="Ricavi Generati",'W Plur.'!$E107*'W. Month'!D$10))</f>
        <v>38623.259684445919</v>
      </c>
      <c r="E59" s="141">
        <f>IF($M$3="Quantità vendute",'W Plur.'!$E92*'W. Month'!E$10,IF($M$3="Ricavi Generati",'W Plur.'!$E107*'W. Month'!E$10))</f>
        <v>38194.4893121368</v>
      </c>
      <c r="F59" s="141">
        <f>IF($M$3="Quantità vendute",'W Plur.'!$E92*'W. Month'!F$10,IF($M$3="Ricavi Generati",'W Plur.'!$E107*'W. Month'!F$10))</f>
        <v>40059.643035378838</v>
      </c>
      <c r="G59" s="141">
        <f>IF($M$3="Quantità vendute",'W Plur.'!$E92*'W. Month'!G$10,IF($M$3="Ricavi Generati",'W Plur.'!$E107*'W. Month'!G$10))</f>
        <v>40927.764555151385</v>
      </c>
      <c r="H59" s="141">
        <f>IF($M$3="Quantità vendute",'W Plur.'!$E92*'W. Month'!H$10,IF($M$3="Ricavi Generati",'W Plur.'!$E107*'W. Month'!H$10))</f>
        <v>45312.945825538387</v>
      </c>
      <c r="I59" s="141">
        <f>IF($M$3="Quantità vendute",'W Plur.'!$E92*'W. Month'!I$10,IF($M$3="Ricavi Generati",'W Plur.'!$E107*'W. Month'!I$10))</f>
        <v>44315.981969124608</v>
      </c>
      <c r="J59" s="141">
        <f>IF($M$3="Quantità vendute",'W Plur.'!$E92*'W. Month'!J$10,IF($M$3="Ricavi Generati",'W Plur.'!$E107*'W. Month'!J$10))</f>
        <v>37433.562012752416</v>
      </c>
      <c r="K59" s="141">
        <f>IF($M$3="Quantità vendute",'W Plur.'!$E92*'W. Month'!K$10,IF($M$3="Ricavi Generati",'W Plur.'!$E107*'W. Month'!K$10))</f>
        <v>36915.152849517581</v>
      </c>
      <c r="L59" s="141">
        <f>IF($M$3="Quantità vendute",'W Plur.'!$E92*'W. Month'!L$10,IF($M$3="Ricavi Generati",'W Plur.'!$E107*'W. Month'!L$10))</f>
        <v>31502.101835031423</v>
      </c>
      <c r="M59" s="141">
        <f>IF($M$3="Quantità vendute",'W Plur.'!$E92*'W. Month'!M$10,IF($M$3="Ricavi Generati",'W Plur.'!$E107*'W. Month'!M$10))</f>
        <v>32956.107335171648</v>
      </c>
      <c r="N59" s="152">
        <f t="shared" ref="N59:N69" si="18">SUM(B59:M59)</f>
        <v>456512.38690909074</v>
      </c>
      <c r="O59" s="276">
        <f>'Controll Panel'!E7</f>
        <v>0</v>
      </c>
    </row>
    <row r="60" spans="1:15" ht="16.5" customHeight="1">
      <c r="A60" s="548" t="str">
        <f t="shared" si="17"/>
        <v>Revenues during lunch</v>
      </c>
      <c r="B60" s="141">
        <f>IF($M$3="Quantità vendute",'W Plur.'!$E93*'W. Month'!B$10,IF($M$3="Ricavi Generati",'W Plur.'!$E108*'W. Month'!B$10))</f>
        <v>24596.67315153034</v>
      </c>
      <c r="C60" s="141">
        <f>IF($M$3="Quantità vendute",'W Plur.'!$E93*'W. Month'!C$10,IF($M$3="Ricavi Generati",'W Plur.'!$E108*'W. Month'!C$10))</f>
        <v>23890.578009910492</v>
      </c>
      <c r="D60" s="141">
        <f>IF($M$3="Quantità vendute",'W Plur.'!$E93*'W. Month'!D$10,IF($M$3="Ricavi Generati",'W Plur.'!$E108*'W. Month'!D$10))</f>
        <v>26650.049182267685</v>
      </c>
      <c r="E60" s="141">
        <f>IF($M$3="Quantità vendute",'W Plur.'!$E93*'W. Month'!E$10,IF($M$3="Ricavi Generati",'W Plur.'!$E108*'W. Month'!E$10))</f>
        <v>26354.197625374396</v>
      </c>
      <c r="F60" s="141">
        <f>IF($M$3="Quantità vendute",'W Plur.'!$E93*'W. Month'!F$10,IF($M$3="Ricavi Generati",'W Plur.'!$E108*'W. Month'!F$10))</f>
        <v>27641.153694411401</v>
      </c>
      <c r="G60" s="141">
        <f>IF($M$3="Quantità vendute",'W Plur.'!$E93*'W. Month'!G$10,IF($M$3="Ricavi Generati",'W Plur.'!$E108*'W. Month'!G$10))</f>
        <v>28240.157543054454</v>
      </c>
      <c r="H60" s="141">
        <f>IF($M$3="Quantità vendute",'W Plur.'!$E93*'W. Month'!H$10,IF($M$3="Ricavi Generati",'W Plur.'!$E108*'W. Month'!H$10))</f>
        <v>31265.932619621486</v>
      </c>
      <c r="I60" s="141">
        <f>IF($M$3="Quantità vendute",'W Plur.'!$E93*'W. Month'!I$10,IF($M$3="Ricavi Generati",'W Plur.'!$E108*'W. Month'!I$10))</f>
        <v>30578.027558695983</v>
      </c>
      <c r="J60" s="141">
        <f>IF($M$3="Quantità vendute",'W Plur.'!$E93*'W. Month'!J$10,IF($M$3="Ricavi Generati",'W Plur.'!$E108*'W. Month'!J$10))</f>
        <v>25829.157788799166</v>
      </c>
      <c r="K60" s="141">
        <f>IF($M$3="Quantità vendute",'W Plur.'!$E93*'W. Month'!K$10,IF($M$3="Ricavi Generati",'W Plur.'!$E108*'W. Month'!K$10))</f>
        <v>25471.455466167132</v>
      </c>
      <c r="L60" s="141">
        <f>IF($M$3="Quantità vendute",'W Plur.'!$E93*'W. Month'!L$10,IF($M$3="Ricavi Generati",'W Plur.'!$E108*'W. Month'!L$10))</f>
        <v>21736.450266171683</v>
      </c>
      <c r="M60" s="141">
        <f>IF($M$3="Quantità vendute",'W Plur.'!$E93*'W. Month'!M$10,IF($M$3="Ricavi Generati",'W Plur.'!$E108*'W. Month'!M$10))</f>
        <v>22739.714061268434</v>
      </c>
      <c r="N60" s="152">
        <f t="shared" si="18"/>
        <v>314993.5469672727</v>
      </c>
      <c r="O60" s="276">
        <f>O59</f>
        <v>0</v>
      </c>
    </row>
    <row r="61" spans="1:15" ht="16.5" customHeight="1">
      <c r="A61" s="548" t="str">
        <f t="shared" si="17"/>
        <v>Revenues after lunch</v>
      </c>
      <c r="B61" s="141">
        <f>IF($M$3="Quantità vendute",'W Plur.'!$E94*'W. Month'!B$10,IF($M$3="Ricavi Generati",'W Plur.'!$E109*'W. Month'!B$10))</f>
        <v>8829.57497747243</v>
      </c>
      <c r="C61" s="141">
        <f>IF($M$3="Quantità vendute",'W Plur.'!$E94*'W. Month'!C$10,IF($M$3="Ricavi Generati",'W Plur.'!$E109*'W. Month'!C$10))</f>
        <v>8576.1049266345381</v>
      </c>
      <c r="D61" s="141">
        <f>IF($M$3="Quantità vendute",'W Plur.'!$E94*'W. Month'!D$10,IF($M$3="Ricavi Generati",'W Plur.'!$E109*'W. Month'!D$10))</f>
        <v>9566.6843218396825</v>
      </c>
      <c r="E61" s="141">
        <f>IF($M$3="Quantità vendute",'W Plur.'!$E94*'W. Month'!E$10,IF($M$3="Ricavi Generati",'W Plur.'!$E109*'W. Month'!E$10))</f>
        <v>9460.4811988523488</v>
      </c>
      <c r="F61" s="141">
        <f>IF($M$3="Quantità vendute",'W Plur.'!$E94*'W. Month'!F$10,IF($M$3="Ricavi Generati",'W Plur.'!$E109*'W. Month'!F$10))</f>
        <v>9922.4654287630692</v>
      </c>
      <c r="G61" s="141">
        <f>IF($M$3="Quantità vendute",'W Plur.'!$E94*'W. Month'!G$10,IF($M$3="Ricavi Generati",'W Plur.'!$E109*'W. Month'!G$10))</f>
        <v>10137.492451352884</v>
      </c>
      <c r="H61" s="141">
        <f>IF($M$3="Quantità vendute",'W Plur.'!$E94*'W. Month'!H$10,IF($M$3="Ricavi Generati",'W Plur.'!$E109*'W. Month'!H$10))</f>
        <v>11223.668119864125</v>
      </c>
      <c r="I61" s="141">
        <f>IF($M$3="Quantità vendute",'W Plur.'!$E94*'W. Month'!I$10,IF($M$3="Ricavi Generati",'W Plur.'!$E109*'W. Month'!I$10))</f>
        <v>10976.727841583175</v>
      </c>
      <c r="J61" s="141">
        <f>IF($M$3="Quantità vendute",'W Plur.'!$E94*'W. Month'!J$10,IF($M$3="Ricavi Generati",'W Plur.'!$E109*'W. Month'!J$10))</f>
        <v>9272.0053600817537</v>
      </c>
      <c r="K61" s="141">
        <f>IF($M$3="Quantità vendute",'W Plur.'!$E94*'W. Month'!K$10,IF($M$3="Ricavi Generati",'W Plur.'!$E109*'W. Month'!K$10))</f>
        <v>9143.5993981112806</v>
      </c>
      <c r="L61" s="141">
        <f>IF($M$3="Quantità vendute",'W Plur.'!$E94*'W. Month'!L$10,IF($M$3="Ricavi Generati",'W Plur.'!$E109*'W. Month'!L$10))</f>
        <v>7802.8283006770162</v>
      </c>
      <c r="M61" s="141">
        <f>IF($M$3="Quantità vendute",'W Plur.'!$E94*'W. Month'!M$10,IF($M$3="Ricavi Generati",'W Plur.'!$E109*'W. Month'!M$10))</f>
        <v>8162.9742784040554</v>
      </c>
      <c r="N61" s="152">
        <f t="shared" si="18"/>
        <v>113074.60660363638</v>
      </c>
      <c r="O61" s="276">
        <f t="shared" ref="O61:O70" si="19">O60</f>
        <v>0</v>
      </c>
    </row>
    <row r="62" spans="1:15" ht="16.5" customHeight="1">
      <c r="A62" s="548" t="str">
        <f t="shared" si="17"/>
        <v>Revenues during dinner</v>
      </c>
      <c r="B62" s="141">
        <f>IF($M$3="Quantità vendute",'W Plur.'!$E95*'W. Month'!B$10,IF($M$3="Ricavi Generati",'W Plur.'!$E110*'W. Month'!B$10))</f>
        <v>3071.1565139034537</v>
      </c>
      <c r="C62" s="141">
        <f>IF($M$3="Quantità vendute",'W Plur.'!$E95*'W. Month'!C$10,IF($M$3="Ricavi Generati",'W Plur.'!$E110*'W. Month'!C$10))</f>
        <v>2982.9930179598387</v>
      </c>
      <c r="D62" s="141">
        <f>IF($M$3="Quantità vendute",'W Plur.'!$E95*'W. Month'!D$10,IF($M$3="Ricavi Generati",'W Plur.'!$E110*'W. Month'!D$10))</f>
        <v>3327.5423728138021</v>
      </c>
      <c r="E62" s="141">
        <f>IF($M$3="Quantità vendute",'W Plur.'!$E95*'W. Month'!E$10,IF($M$3="Ricavi Generati",'W Plur.'!$E110*'W. Month'!E$10))</f>
        <v>3290.6021561225552</v>
      </c>
      <c r="F62" s="141">
        <f>IF($M$3="Quantità vendute",'W Plur.'!$E95*'W. Month'!F$10,IF($M$3="Ricavi Generati",'W Plur.'!$E110*'W. Month'!F$10))</f>
        <v>3451.2923230480233</v>
      </c>
      <c r="G62" s="141">
        <f>IF($M$3="Quantità vendute",'W Plur.'!$E95*'W. Month'!G$10,IF($M$3="Ricavi Generati",'W Plur.'!$E110*'W. Month'!G$10))</f>
        <v>3526.0843309053503</v>
      </c>
      <c r="H62" s="141">
        <f>IF($M$3="Quantità vendute",'W Plur.'!$E95*'W. Month'!H$10,IF($M$3="Ricavi Generati",'W Plur.'!$E110*'W. Month'!H$10))</f>
        <v>3903.8845634309996</v>
      </c>
      <c r="I62" s="141">
        <f>IF($M$3="Quantità vendute",'W Plur.'!$E95*'W. Month'!I$10,IF($M$3="Ricavi Generati",'W Plur.'!$E110*'W. Month'!I$10))</f>
        <v>3817.9922927245821</v>
      </c>
      <c r="J62" s="141">
        <f>IF($M$3="Quantità vendute",'W Plur.'!$E95*'W. Month'!J$10,IF($M$3="Ricavi Generati",'W Plur.'!$E110*'W. Month'!J$10))</f>
        <v>3225.0453426371314</v>
      </c>
      <c r="K62" s="141">
        <f>IF($M$3="Quantità vendute",'W Plur.'!$E95*'W. Month'!K$10,IF($M$3="Ricavi Generati",'W Plur.'!$E110*'W. Month'!K$10))</f>
        <v>3180.3823993430533</v>
      </c>
      <c r="L62" s="141">
        <f>IF($M$3="Quantità vendute",'W Plur.'!$E95*'W. Month'!L$10,IF($M$3="Ricavi Generati",'W Plur.'!$E110*'W. Month'!L$10))</f>
        <v>2714.0272350180921</v>
      </c>
      <c r="M62" s="141">
        <f>IF($M$3="Quantità vendute",'W Plur.'!$E95*'W. Month'!M$10,IF($M$3="Ricavi Generati",'W Plur.'!$E110*'W. Month'!M$10))</f>
        <v>2839.2954011840188</v>
      </c>
      <c r="N62" s="152">
        <f t="shared" si="18"/>
        <v>39330.297949090898</v>
      </c>
      <c r="O62" s="276">
        <f t="shared" si="19"/>
        <v>0</v>
      </c>
    </row>
    <row r="63" spans="1:15" ht="16.5" hidden="1" customHeight="1">
      <c r="A63" s="548" t="str">
        <f t="shared" si="17"/>
        <v>//</v>
      </c>
      <c r="B63" s="141">
        <f>IF($M$3="Quantità vendute",'W Plur.'!$E96*'W. Month'!B$10,IF($M$3="Ricavi Generati",'W Plur.'!$E111*'W. Month'!B$10))</f>
        <v>0</v>
      </c>
      <c r="C63" s="141">
        <f>IF($M$3="Quantità vendute",'W Plur.'!$E96*'W. Month'!C$10,IF($M$3="Ricavi Generati",'W Plur.'!$E111*'W. Month'!C$10))</f>
        <v>0</v>
      </c>
      <c r="D63" s="141">
        <f>IF($M$3="Quantità vendute",'W Plur.'!$E96*'W. Month'!D$10,IF($M$3="Ricavi Generati",'W Plur.'!$E111*'W. Month'!D$10))</f>
        <v>0</v>
      </c>
      <c r="E63" s="141">
        <f>IF($M$3="Quantità vendute",'W Plur.'!$E96*'W. Month'!E$10,IF($M$3="Ricavi Generati",'W Plur.'!$E111*'W. Month'!E$10))</f>
        <v>0</v>
      </c>
      <c r="F63" s="141">
        <f>IF($M$3="Quantità vendute",'W Plur.'!$E96*'W. Month'!F$10,IF($M$3="Ricavi Generati",'W Plur.'!$E111*'W. Month'!F$10))</f>
        <v>0</v>
      </c>
      <c r="G63" s="141">
        <f>IF($M$3="Quantità vendute",'W Plur.'!$E96*'W. Month'!G$10,IF($M$3="Ricavi Generati",'W Plur.'!$E111*'W. Month'!G$10))</f>
        <v>0</v>
      </c>
      <c r="H63" s="141">
        <f>IF($M$3="Quantità vendute",'W Plur.'!$E96*'W. Month'!H$10,IF($M$3="Ricavi Generati",'W Plur.'!$E111*'W. Month'!H$10))</f>
        <v>0</v>
      </c>
      <c r="I63" s="141">
        <f>IF($M$3="Quantità vendute",'W Plur.'!$E96*'W. Month'!I$10,IF($M$3="Ricavi Generati",'W Plur.'!$E111*'W. Month'!I$10))</f>
        <v>0</v>
      </c>
      <c r="J63" s="141">
        <f>IF($M$3="Quantità vendute",'W Plur.'!$E96*'W. Month'!J$10,IF($M$3="Ricavi Generati",'W Plur.'!$E111*'W. Month'!J$10))</f>
        <v>0</v>
      </c>
      <c r="K63" s="141">
        <f>IF($M$3="Quantità vendute",'W Plur.'!$E96*'W. Month'!K$10,IF($M$3="Ricavi Generati",'W Plur.'!$E111*'W. Month'!K$10))</f>
        <v>0</v>
      </c>
      <c r="L63" s="141">
        <f>IF($M$3="Quantità vendute",'W Plur.'!$E96*'W. Month'!L$10,IF($M$3="Ricavi Generati",'W Plur.'!$E111*'W. Month'!L$10))</f>
        <v>0</v>
      </c>
      <c r="M63" s="141">
        <f>IF($M$3="Quantità vendute",'W Plur.'!$E96*'W. Month'!M$10,IF($M$3="Ricavi Generati",'W Plur.'!$E111*'W. Month'!M$10))</f>
        <v>0</v>
      </c>
      <c r="N63" s="152">
        <f t="shared" si="18"/>
        <v>0</v>
      </c>
      <c r="O63" s="276">
        <f t="shared" si="19"/>
        <v>0</v>
      </c>
    </row>
    <row r="64" spans="1:15" ht="16.5" hidden="1" customHeight="1">
      <c r="A64" s="548" t="str">
        <f t="shared" si="17"/>
        <v>//</v>
      </c>
      <c r="B64" s="141">
        <f>IF($M$3="Quantità vendute",'W Plur.'!$E97*'W. Month'!B$10,IF($M$3="Ricavi Generati",'W Plur.'!$E112*'W. Month'!B$10))</f>
        <v>0</v>
      </c>
      <c r="C64" s="141">
        <f>IF($M$3="Quantità vendute",'W Plur.'!$E97*'W. Month'!C$10,IF($M$3="Ricavi Generati",'W Plur.'!$E112*'W. Month'!C$10))</f>
        <v>0</v>
      </c>
      <c r="D64" s="141">
        <f>IF($M$3="Quantità vendute",'W Plur.'!$E97*'W. Month'!D$10,IF($M$3="Ricavi Generati",'W Plur.'!$E112*'W. Month'!D$10))</f>
        <v>0</v>
      </c>
      <c r="E64" s="141">
        <f>IF($M$3="Quantità vendute",'W Plur.'!$E97*'W. Month'!E$10,IF($M$3="Ricavi Generati",'W Plur.'!$E112*'W. Month'!E$10))</f>
        <v>0</v>
      </c>
      <c r="F64" s="141">
        <f>IF($M$3="Quantità vendute",'W Plur.'!$E97*'W. Month'!F$10,IF($M$3="Ricavi Generati",'W Plur.'!$E112*'W. Month'!F$10))</f>
        <v>0</v>
      </c>
      <c r="G64" s="141">
        <f>IF($M$3="Quantità vendute",'W Plur.'!$E97*'W. Month'!G$10,IF($M$3="Ricavi Generati",'W Plur.'!$E112*'W. Month'!G$10))</f>
        <v>0</v>
      </c>
      <c r="H64" s="141">
        <f>IF($M$3="Quantità vendute",'W Plur.'!$E97*'W. Month'!H$10,IF($M$3="Ricavi Generati",'W Plur.'!$E112*'W. Month'!H$10))</f>
        <v>0</v>
      </c>
      <c r="I64" s="141">
        <f>IF($M$3="Quantità vendute",'W Plur.'!$E97*'W. Month'!I$10,IF($M$3="Ricavi Generati",'W Plur.'!$E112*'W. Month'!I$10))</f>
        <v>0</v>
      </c>
      <c r="J64" s="141">
        <f>IF($M$3="Quantità vendute",'W Plur.'!$E97*'W. Month'!J$10,IF($M$3="Ricavi Generati",'W Plur.'!$E112*'W. Month'!J$10))</f>
        <v>0</v>
      </c>
      <c r="K64" s="141">
        <f>IF($M$3="Quantità vendute",'W Plur.'!$E97*'W. Month'!K$10,IF($M$3="Ricavi Generati",'W Plur.'!$E112*'W. Month'!K$10))</f>
        <v>0</v>
      </c>
      <c r="L64" s="141">
        <f>IF($M$3="Quantità vendute",'W Plur.'!$E97*'W. Month'!L$10,IF($M$3="Ricavi Generati",'W Plur.'!$E112*'W. Month'!L$10))</f>
        <v>0</v>
      </c>
      <c r="M64" s="141">
        <f>IF($M$3="Quantità vendute",'W Plur.'!$E97*'W. Month'!M$10,IF($M$3="Ricavi Generati",'W Plur.'!$E112*'W. Month'!M$10))</f>
        <v>0</v>
      </c>
      <c r="N64" s="152">
        <f t="shared" si="18"/>
        <v>0</v>
      </c>
      <c r="O64" s="276">
        <f t="shared" si="19"/>
        <v>0</v>
      </c>
    </row>
    <row r="65" spans="1:15" ht="16.5" hidden="1" customHeight="1">
      <c r="A65" s="548" t="str">
        <f t="shared" si="17"/>
        <v>//</v>
      </c>
      <c r="B65" s="141">
        <f>IF($M$3="Quantità vendute",'W Plur.'!$E98*'W. Month'!B$10,IF($M$3="Ricavi Generati",'W Plur.'!$E113*'W. Month'!B$10))</f>
        <v>0</v>
      </c>
      <c r="C65" s="141">
        <f>IF($M$3="Quantità vendute",'W Plur.'!$E98*'W. Month'!C$10,IF($M$3="Ricavi Generati",'W Plur.'!$E113*'W. Month'!C$10))</f>
        <v>0</v>
      </c>
      <c r="D65" s="141">
        <f>IF($M$3="Quantità vendute",'W Plur.'!$E98*'W. Month'!D$10,IF($M$3="Ricavi Generati",'W Plur.'!$E113*'W. Month'!D$10))</f>
        <v>0</v>
      </c>
      <c r="E65" s="141">
        <f>IF($M$3="Quantità vendute",'W Plur.'!$E98*'W. Month'!E$10,IF($M$3="Ricavi Generati",'W Plur.'!$E113*'W. Month'!E$10))</f>
        <v>0</v>
      </c>
      <c r="F65" s="141">
        <f>IF($M$3="Quantità vendute",'W Plur.'!$E98*'W. Month'!F$10,IF($M$3="Ricavi Generati",'W Plur.'!$E113*'W. Month'!F$10))</f>
        <v>0</v>
      </c>
      <c r="G65" s="141">
        <f>IF($M$3="Quantità vendute",'W Plur.'!$E98*'W. Month'!G$10,IF($M$3="Ricavi Generati",'W Plur.'!$E113*'W. Month'!G$10))</f>
        <v>0</v>
      </c>
      <c r="H65" s="141">
        <f>IF($M$3="Quantità vendute",'W Plur.'!$E98*'W. Month'!H$10,IF($M$3="Ricavi Generati",'W Plur.'!$E113*'W. Month'!H$10))</f>
        <v>0</v>
      </c>
      <c r="I65" s="141">
        <f>IF($M$3="Quantità vendute",'W Plur.'!$E98*'W. Month'!I$10,IF($M$3="Ricavi Generati",'W Plur.'!$E113*'W. Month'!I$10))</f>
        <v>0</v>
      </c>
      <c r="J65" s="141">
        <f>IF($M$3="Quantità vendute",'W Plur.'!$E98*'W. Month'!J$10,IF($M$3="Ricavi Generati",'W Plur.'!$E113*'W. Month'!J$10))</f>
        <v>0</v>
      </c>
      <c r="K65" s="141">
        <f>IF($M$3="Quantità vendute",'W Plur.'!$E98*'W. Month'!K$10,IF($M$3="Ricavi Generati",'W Plur.'!$E113*'W. Month'!K$10))</f>
        <v>0</v>
      </c>
      <c r="L65" s="141">
        <f>IF($M$3="Quantità vendute",'W Plur.'!$E98*'W. Month'!L$10,IF($M$3="Ricavi Generati",'W Plur.'!$E113*'W. Month'!L$10))</f>
        <v>0</v>
      </c>
      <c r="M65" s="141">
        <f>IF($M$3="Quantità vendute",'W Plur.'!$E98*'W. Month'!M$10,IF($M$3="Ricavi Generati",'W Plur.'!$E113*'W. Month'!M$10))</f>
        <v>0</v>
      </c>
      <c r="N65" s="152">
        <f t="shared" si="18"/>
        <v>0</v>
      </c>
      <c r="O65" s="276">
        <f t="shared" si="19"/>
        <v>0</v>
      </c>
    </row>
    <row r="66" spans="1:15" ht="16.5" hidden="1" customHeight="1">
      <c r="A66" s="548" t="str">
        <f t="shared" si="17"/>
        <v>//</v>
      </c>
      <c r="B66" s="141">
        <f>IF($M$3="Quantità vendute",'W Plur.'!$E99*'W. Month'!B$10,IF($M$3="Ricavi Generati",'W Plur.'!$E114*'W. Month'!B$10))</f>
        <v>0</v>
      </c>
      <c r="C66" s="141">
        <f>IF($M$3="Quantità vendute",'W Plur.'!$E99*'W. Month'!C$10,IF($M$3="Ricavi Generati",'W Plur.'!$E114*'W. Month'!C$10))</f>
        <v>0</v>
      </c>
      <c r="D66" s="141">
        <f>IF($M$3="Quantità vendute",'W Plur.'!$E99*'W. Month'!D$10,IF($M$3="Ricavi Generati",'W Plur.'!$E114*'W. Month'!D$10))</f>
        <v>0</v>
      </c>
      <c r="E66" s="141">
        <f>IF($M$3="Quantità vendute",'W Plur.'!$E99*'W. Month'!E$10,IF($M$3="Ricavi Generati",'W Plur.'!$E114*'W. Month'!E$10))</f>
        <v>0</v>
      </c>
      <c r="F66" s="141">
        <f>IF($M$3="Quantità vendute",'W Plur.'!$E99*'W. Month'!F$10,IF($M$3="Ricavi Generati",'W Plur.'!$E114*'W. Month'!F$10))</f>
        <v>0</v>
      </c>
      <c r="G66" s="141">
        <f>IF($M$3="Quantità vendute",'W Plur.'!$E99*'W. Month'!G$10,IF($M$3="Ricavi Generati",'W Plur.'!$E114*'W. Month'!G$10))</f>
        <v>0</v>
      </c>
      <c r="H66" s="141">
        <f>IF($M$3="Quantità vendute",'W Plur.'!$E99*'W. Month'!H$10,IF($M$3="Ricavi Generati",'W Plur.'!$E114*'W. Month'!H$10))</f>
        <v>0</v>
      </c>
      <c r="I66" s="141">
        <f>IF($M$3="Quantità vendute",'W Plur.'!$E99*'W. Month'!I$10,IF($M$3="Ricavi Generati",'W Plur.'!$E114*'W. Month'!I$10))</f>
        <v>0</v>
      </c>
      <c r="J66" s="141">
        <f>IF($M$3="Quantità vendute",'W Plur.'!$E99*'W. Month'!J$10,IF($M$3="Ricavi Generati",'W Plur.'!$E114*'W. Month'!J$10))</f>
        <v>0</v>
      </c>
      <c r="K66" s="141">
        <f>IF($M$3="Quantità vendute",'W Plur.'!$E99*'W. Month'!K$10,IF($M$3="Ricavi Generati",'W Plur.'!$E114*'W. Month'!K$10))</f>
        <v>0</v>
      </c>
      <c r="L66" s="141">
        <f>IF($M$3="Quantità vendute",'W Plur.'!$E99*'W. Month'!L$10,IF($M$3="Ricavi Generati",'W Plur.'!$E114*'W. Month'!L$10))</f>
        <v>0</v>
      </c>
      <c r="M66" s="141">
        <f>IF($M$3="Quantità vendute",'W Plur.'!$E99*'W. Month'!M$10,IF($M$3="Ricavi Generati",'W Plur.'!$E114*'W. Month'!M$10))</f>
        <v>0</v>
      </c>
      <c r="N66" s="152">
        <f t="shared" si="18"/>
        <v>0</v>
      </c>
      <c r="O66" s="276">
        <f t="shared" si="19"/>
        <v>0</v>
      </c>
    </row>
    <row r="67" spans="1:15" ht="16.5" hidden="1" customHeight="1">
      <c r="A67" s="548" t="str">
        <f t="shared" si="17"/>
        <v>//</v>
      </c>
      <c r="B67" s="141">
        <f>IF($M$3="Quantità vendute",'W Plur.'!$E100*'W. Month'!B$10,IF($M$3="Ricavi Generati",'W Plur.'!$E115*'W. Month'!B$10))</f>
        <v>0</v>
      </c>
      <c r="C67" s="141">
        <f>IF($M$3="Quantità vendute",'W Plur.'!$E100*'W. Month'!C$10,IF($M$3="Ricavi Generati",'W Plur.'!$E115*'W. Month'!C$10))</f>
        <v>0</v>
      </c>
      <c r="D67" s="141">
        <f>IF($M$3="Quantità vendute",'W Plur.'!$E100*'W. Month'!D$10,IF($M$3="Ricavi Generati",'W Plur.'!$E115*'W. Month'!D$10))</f>
        <v>0</v>
      </c>
      <c r="E67" s="141">
        <f>IF($M$3="Quantità vendute",'W Plur.'!$E100*'W. Month'!E$10,IF($M$3="Ricavi Generati",'W Plur.'!$E115*'W. Month'!E$10))</f>
        <v>0</v>
      </c>
      <c r="F67" s="141">
        <f>IF($M$3="Quantità vendute",'W Plur.'!$E100*'W. Month'!F$10,IF($M$3="Ricavi Generati",'W Plur.'!$E115*'W. Month'!F$10))</f>
        <v>0</v>
      </c>
      <c r="G67" s="141">
        <f>IF($M$3="Quantità vendute",'W Plur.'!$E100*'W. Month'!G$10,IF($M$3="Ricavi Generati",'W Plur.'!$E115*'W. Month'!G$10))</f>
        <v>0</v>
      </c>
      <c r="H67" s="141">
        <f>IF($M$3="Quantità vendute",'W Plur.'!$E100*'W. Month'!H$10,IF($M$3="Ricavi Generati",'W Plur.'!$E115*'W. Month'!H$10))</f>
        <v>0</v>
      </c>
      <c r="I67" s="141">
        <f>IF($M$3="Quantità vendute",'W Plur.'!$E100*'W. Month'!I$10,IF($M$3="Ricavi Generati",'W Plur.'!$E115*'W. Month'!I$10))</f>
        <v>0</v>
      </c>
      <c r="J67" s="141">
        <f>IF($M$3="Quantità vendute",'W Plur.'!$E100*'W. Month'!J$10,IF($M$3="Ricavi Generati",'W Plur.'!$E115*'W. Month'!J$10))</f>
        <v>0</v>
      </c>
      <c r="K67" s="141">
        <f>IF($M$3="Quantità vendute",'W Plur.'!$E100*'W. Month'!K$10,IF($M$3="Ricavi Generati",'W Plur.'!$E115*'W. Month'!K$10))</f>
        <v>0</v>
      </c>
      <c r="L67" s="141">
        <f>IF($M$3="Quantità vendute",'W Plur.'!$E100*'W. Month'!L$10,IF($M$3="Ricavi Generati",'W Plur.'!$E115*'W. Month'!L$10))</f>
        <v>0</v>
      </c>
      <c r="M67" s="141">
        <f>IF($M$3="Quantità vendute",'W Plur.'!$E100*'W. Month'!M$10,IF($M$3="Ricavi Generati",'W Plur.'!$E115*'W. Month'!M$10))</f>
        <v>0</v>
      </c>
      <c r="N67" s="152">
        <f t="shared" si="18"/>
        <v>0</v>
      </c>
      <c r="O67" s="276">
        <f t="shared" si="19"/>
        <v>0</v>
      </c>
    </row>
    <row r="68" spans="1:15" ht="16.5" hidden="1" customHeight="1">
      <c r="A68" s="548" t="str">
        <f t="shared" si="17"/>
        <v>//</v>
      </c>
      <c r="B68" s="141">
        <f>IF($M$3="Quantità vendute",'W Plur.'!$E101*'W. Month'!B$10,IF($M$3="Ricavi Generati",'W Plur.'!$E116*'W. Month'!B$10))</f>
        <v>0</v>
      </c>
      <c r="C68" s="141">
        <f>IF($M$3="Quantità vendute",'W Plur.'!$E101*'W. Month'!C$10,IF($M$3="Ricavi Generati",'W Plur.'!$E116*'W. Month'!C$10))</f>
        <v>0</v>
      </c>
      <c r="D68" s="141">
        <f>IF($M$3="Quantità vendute",'W Plur.'!$E101*'W. Month'!D$10,IF($M$3="Ricavi Generati",'W Plur.'!$E116*'W. Month'!D$10))</f>
        <v>0</v>
      </c>
      <c r="E68" s="141">
        <f>IF($M$3="Quantità vendute",'W Plur.'!$E101*'W. Month'!E$10,IF($M$3="Ricavi Generati",'W Plur.'!$E116*'W. Month'!E$10))</f>
        <v>0</v>
      </c>
      <c r="F68" s="141">
        <f>IF($M$3="Quantità vendute",'W Plur.'!$E101*'W. Month'!F$10,IF($M$3="Ricavi Generati",'W Plur.'!$E116*'W. Month'!F$10))</f>
        <v>0</v>
      </c>
      <c r="G68" s="141">
        <f>IF($M$3="Quantità vendute",'W Plur.'!$E101*'W. Month'!G$10,IF($M$3="Ricavi Generati",'W Plur.'!$E116*'W. Month'!G$10))</f>
        <v>0</v>
      </c>
      <c r="H68" s="141">
        <f>IF($M$3="Quantità vendute",'W Plur.'!$E101*'W. Month'!H$10,IF($M$3="Ricavi Generati",'W Plur.'!$E116*'W. Month'!H$10))</f>
        <v>0</v>
      </c>
      <c r="I68" s="141">
        <f>IF($M$3="Quantità vendute",'W Plur.'!$E101*'W. Month'!I$10,IF($M$3="Ricavi Generati",'W Plur.'!$E116*'W. Month'!I$10))</f>
        <v>0</v>
      </c>
      <c r="J68" s="141">
        <f>IF($M$3="Quantità vendute",'W Plur.'!$E101*'W. Month'!J$10,IF($M$3="Ricavi Generati",'W Plur.'!$E116*'W. Month'!J$10))</f>
        <v>0</v>
      </c>
      <c r="K68" s="141">
        <f>IF($M$3="Quantità vendute",'W Plur.'!$E101*'W. Month'!K$10,IF($M$3="Ricavi Generati",'W Plur.'!$E116*'W. Month'!K$10))</f>
        <v>0</v>
      </c>
      <c r="L68" s="141">
        <f>IF($M$3="Quantità vendute",'W Plur.'!$E101*'W. Month'!L$10,IF($M$3="Ricavi Generati",'W Plur.'!$E116*'W. Month'!L$10))</f>
        <v>0</v>
      </c>
      <c r="M68" s="141">
        <f>IF($M$3="Quantità vendute",'W Plur.'!$E101*'W. Month'!M$10,IF($M$3="Ricavi Generati",'W Plur.'!$E116*'W. Month'!M$10))</f>
        <v>0</v>
      </c>
      <c r="N68" s="152">
        <f t="shared" si="18"/>
        <v>0</v>
      </c>
      <c r="O68" s="276">
        <f t="shared" si="19"/>
        <v>0</v>
      </c>
    </row>
    <row r="69" spans="1:15" ht="16.5" hidden="1" customHeight="1">
      <c r="A69" s="548" t="str">
        <f t="shared" si="17"/>
        <v>//</v>
      </c>
      <c r="B69" s="141">
        <f>IF($M$3="Quantità vendute",'W Plur.'!$E102*'W. Month'!B$10,IF($M$3="Ricavi Generati",'W Plur.'!$E117*'W. Month'!B$10))</f>
        <v>0</v>
      </c>
      <c r="C69" s="141">
        <f>IF($M$3="Quantità vendute",'W Plur.'!$E102*'W. Month'!C$10,IF($M$3="Ricavi Generati",'W Plur.'!$E117*'W. Month'!C$10))</f>
        <v>0</v>
      </c>
      <c r="D69" s="141">
        <f>IF($M$3="Quantità vendute",'W Plur.'!$E102*'W. Month'!D$10,IF($M$3="Ricavi Generati",'W Plur.'!$E117*'W. Month'!D$10))</f>
        <v>0</v>
      </c>
      <c r="E69" s="141">
        <f>IF($M$3="Quantità vendute",'W Plur.'!$E102*'W. Month'!E$10,IF($M$3="Ricavi Generati",'W Plur.'!$E117*'W. Month'!E$10))</f>
        <v>0</v>
      </c>
      <c r="F69" s="141">
        <f>IF($M$3="Quantità vendute",'W Plur.'!$E102*'W. Month'!F$10,IF($M$3="Ricavi Generati",'W Plur.'!$E117*'W. Month'!F$10))</f>
        <v>0</v>
      </c>
      <c r="G69" s="141">
        <f>IF($M$3="Quantità vendute",'W Plur.'!$E102*'W. Month'!G$10,IF($M$3="Ricavi Generati",'W Plur.'!$E117*'W. Month'!G$10))</f>
        <v>0</v>
      </c>
      <c r="H69" s="141">
        <f>IF($M$3="Quantità vendute",'W Plur.'!$E102*'W. Month'!H$10,IF($M$3="Ricavi Generati",'W Plur.'!$E117*'W. Month'!H$10))</f>
        <v>0</v>
      </c>
      <c r="I69" s="141">
        <f>IF($M$3="Quantità vendute",'W Plur.'!$E102*'W. Month'!I$10,IF($M$3="Ricavi Generati",'W Plur.'!$E117*'W. Month'!I$10))</f>
        <v>0</v>
      </c>
      <c r="J69" s="141">
        <f>IF($M$3="Quantità vendute",'W Plur.'!$E102*'W. Month'!J$10,IF($M$3="Ricavi Generati",'W Plur.'!$E117*'W. Month'!J$10))</f>
        <v>0</v>
      </c>
      <c r="K69" s="141">
        <f>IF($M$3="Quantità vendute",'W Plur.'!$E102*'W. Month'!K$10,IF($M$3="Ricavi Generati",'W Plur.'!$E117*'W. Month'!K$10))</f>
        <v>0</v>
      </c>
      <c r="L69" s="141">
        <f>IF($M$3="Quantità vendute",'W Plur.'!$E102*'W. Month'!L$10,IF($M$3="Ricavi Generati",'W Plur.'!$E117*'W. Month'!L$10))</f>
        <v>0</v>
      </c>
      <c r="M69" s="141">
        <f>IF($M$3="Quantità vendute",'W Plur.'!$E102*'W. Month'!M$10,IF($M$3="Ricavi Generati",'W Plur.'!$E117*'W. Month'!M$10))</f>
        <v>0</v>
      </c>
      <c r="N69" s="152">
        <f t="shared" si="18"/>
        <v>0</v>
      </c>
      <c r="O69" s="276">
        <f t="shared" si="19"/>
        <v>0</v>
      </c>
    </row>
    <row r="70" spans="1:15" ht="16.5" hidden="1" customHeight="1">
      <c r="A70" s="548" t="str">
        <f t="shared" si="17"/>
        <v>//</v>
      </c>
      <c r="B70" s="141">
        <f>IF($M$3="Quantità vendute",'W Plur.'!$E103*'W. Month'!B$10,IF($M$3="Ricavi Generati",'W Plur.'!$E118*'W. Month'!B$10))</f>
        <v>0</v>
      </c>
      <c r="C70" s="141">
        <f>IF($M$3="Quantità vendute",'W Plur.'!$E103*'W. Month'!C$10,IF($M$3="Ricavi Generati",'W Plur.'!$E118*'W. Month'!C$10))</f>
        <v>0</v>
      </c>
      <c r="D70" s="141">
        <f>IF($M$3="Quantità vendute",'W Plur.'!$E103*'W. Month'!D$10,IF($M$3="Ricavi Generati",'W Plur.'!$E118*'W. Month'!D$10))</f>
        <v>0</v>
      </c>
      <c r="E70" s="141">
        <f>IF($M$3="Quantità vendute",'W Plur.'!$E103*'W. Month'!E$10,IF($M$3="Ricavi Generati",'W Plur.'!$E118*'W. Month'!E$10))</f>
        <v>0</v>
      </c>
      <c r="F70" s="141">
        <f>IF($M$3="Quantità vendute",'W Plur.'!$E103*'W. Month'!F$10,IF($M$3="Ricavi Generati",'W Plur.'!$E118*'W. Month'!F$10))</f>
        <v>0</v>
      </c>
      <c r="G70" s="141">
        <f>IF($M$3="Quantità vendute",'W Plur.'!$E103*'W. Month'!G$10,IF($M$3="Ricavi Generati",'W Plur.'!$E118*'W. Month'!G$10))</f>
        <v>0</v>
      </c>
      <c r="H70" s="141">
        <f>IF($M$3="Quantità vendute",'W Plur.'!$E103*'W. Month'!H$10,IF($M$3="Ricavi Generati",'W Plur.'!$E118*'W. Month'!H$10))</f>
        <v>0</v>
      </c>
      <c r="I70" s="141">
        <f>IF($M$3="Quantità vendute",'W Plur.'!$E103*'W. Month'!I$10,IF($M$3="Ricavi Generati",'W Plur.'!$E118*'W. Month'!I$10))</f>
        <v>0</v>
      </c>
      <c r="J70" s="141">
        <f>IF($M$3="Quantità vendute",'W Plur.'!$E103*'W. Month'!J$10,IF($M$3="Ricavi Generati",'W Plur.'!$E118*'W. Month'!J$10))</f>
        <v>0</v>
      </c>
      <c r="K70" s="141">
        <f>IF($M$3="Quantità vendute",'W Plur.'!$E103*'W. Month'!K$10,IF($M$3="Ricavi Generati",'W Plur.'!$E118*'W. Month'!K$10))</f>
        <v>0</v>
      </c>
      <c r="L70" s="141">
        <f>IF($M$3="Quantità vendute",'W Plur.'!$E103*'W. Month'!L$10,IF($M$3="Ricavi Generati",'W Plur.'!$E118*'W. Month'!L$10))</f>
        <v>0</v>
      </c>
      <c r="M70" s="141">
        <f>IF($M$3="Quantità vendute",'W Plur.'!$E103*'W. Month'!M$10,IF($M$3="Ricavi Generati",'W Plur.'!$E118*'W. Month'!M$10))</f>
        <v>0</v>
      </c>
      <c r="N70" s="152">
        <f>SUM(B70:M70)</f>
        <v>0</v>
      </c>
      <c r="O70" s="276">
        <f t="shared" si="19"/>
        <v>0</v>
      </c>
    </row>
    <row r="71" spans="1:15" ht="16.5" customHeight="1" thickBot="1">
      <c r="A71" s="270" t="str">
        <f t="shared" si="17"/>
        <v>Total</v>
      </c>
      <c r="B71" s="277">
        <f>SUM(B59:B70)</f>
        <v>72144.757036428447</v>
      </c>
      <c r="C71" s="277">
        <f t="shared" ref="C71:M71" si="20">SUM(C59:C70)</f>
        <v>70073.702055824426</v>
      </c>
      <c r="D71" s="277">
        <f t="shared" si="20"/>
        <v>78167.535561367084</v>
      </c>
      <c r="E71" s="277">
        <f t="shared" si="20"/>
        <v>77299.770292486093</v>
      </c>
      <c r="F71" s="277">
        <f t="shared" si="20"/>
        <v>81074.554481601328</v>
      </c>
      <c r="G71" s="277">
        <f t="shared" si="20"/>
        <v>82831.49888046406</v>
      </c>
      <c r="H71" s="277">
        <f t="shared" si="20"/>
        <v>91706.431128455006</v>
      </c>
      <c r="I71" s="277">
        <f t="shared" si="20"/>
        <v>89688.729662128346</v>
      </c>
      <c r="J71" s="277">
        <f t="shared" si="20"/>
        <v>75759.770504270477</v>
      </c>
      <c r="K71" s="277">
        <f t="shared" si="20"/>
        <v>74710.590113139056</v>
      </c>
      <c r="L71" s="277">
        <f t="shared" si="20"/>
        <v>63755.407636898213</v>
      </c>
      <c r="M71" s="277">
        <f t="shared" si="20"/>
        <v>66698.091076028155</v>
      </c>
      <c r="N71" s="277">
        <f>SUM(B71:M71)</f>
        <v>923910.83842909068</v>
      </c>
      <c r="O71" s="278">
        <f>AVERAGE(O59:O70)</f>
        <v>0</v>
      </c>
    </row>
    <row r="72" spans="1:15" ht="16.5" customHeight="1" thickTop="1">
      <c r="B72" s="280"/>
      <c r="C72" s="280"/>
      <c r="D72" s="280"/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0"/>
    </row>
    <row r="73" spans="1:15" ht="16.5" customHeight="1" thickBot="1">
      <c r="A73" s="264">
        <f>'W Plur.'!F5</f>
        <v>2029</v>
      </c>
      <c r="B73" s="279" t="str">
        <f>B58</f>
        <v>January</v>
      </c>
      <c r="C73" s="279" t="str">
        <f t="shared" ref="C73:N73" si="21">C58</f>
        <v>February</v>
      </c>
      <c r="D73" s="279" t="str">
        <f t="shared" si="21"/>
        <v>March</v>
      </c>
      <c r="E73" s="279" t="str">
        <f t="shared" si="21"/>
        <v>April</v>
      </c>
      <c r="F73" s="279" t="str">
        <f t="shared" si="21"/>
        <v>May</v>
      </c>
      <c r="G73" s="279" t="str">
        <f t="shared" si="21"/>
        <v>June</v>
      </c>
      <c r="H73" s="279" t="str">
        <f t="shared" si="21"/>
        <v>July</v>
      </c>
      <c r="I73" s="279" t="str">
        <f t="shared" si="21"/>
        <v>August</v>
      </c>
      <c r="J73" s="279" t="str">
        <f t="shared" si="21"/>
        <v>September</v>
      </c>
      <c r="K73" s="279" t="str">
        <f t="shared" si="21"/>
        <v>October</v>
      </c>
      <c r="L73" s="279" t="str">
        <f t="shared" si="21"/>
        <v>November</v>
      </c>
      <c r="M73" s="279" t="str">
        <f t="shared" si="21"/>
        <v>December</v>
      </c>
      <c r="N73" s="279" t="str">
        <f t="shared" si="21"/>
        <v>Sum</v>
      </c>
      <c r="O73" s="279" t="s">
        <v>7</v>
      </c>
    </row>
    <row r="74" spans="1:15" ht="16.5" customHeight="1" thickTop="1">
      <c r="A74" s="548" t="str">
        <f>A59</f>
        <v>Revenues before lunch</v>
      </c>
      <c r="B74" s="141">
        <f>IF($M$3="Quantità vendute",'W Plur.'!$F92*'W. Month'!B$10,IF($M$3="Ricavi Generati",'W Plur.'!$F107*'W. Month'!B$10))</f>
        <v>38178.314413462307</v>
      </c>
      <c r="C74" s="141">
        <f>IF($M$3="Quantità vendute",'W Plur.'!$F92*'W. Month'!C$10,IF($M$3="Ricavi Generati",'W Plur.'!$F107*'W. Month'!C$10))</f>
        <v>37082.331954513247</v>
      </c>
      <c r="D74" s="141">
        <f>IF($M$3="Quantità vendute",'W Plur.'!$F92*'W. Month'!D$10,IF($M$3="Ricavi Generati",'W Plur.'!$F107*'W. Month'!D$10))</f>
        <v>41365.511122041578</v>
      </c>
      <c r="E74" s="141">
        <f>IF($M$3="Quantità vendute",'W Plur.'!$F92*'W. Month'!E$10,IF($M$3="Ricavi Generati",'W Plur.'!$F107*'W. Month'!E$10))</f>
        <v>40906.298053298524</v>
      </c>
      <c r="F74" s="141">
        <f>IF($M$3="Quantità vendute",'W Plur.'!$F92*'W. Month'!F$10,IF($M$3="Ricavi Generati",'W Plur.'!$F107*'W. Month'!F$10))</f>
        <v>42903.877690890738</v>
      </c>
      <c r="G74" s="141">
        <f>IF($M$3="Quantità vendute",'W Plur.'!$F92*'W. Month'!G$10,IF($M$3="Ricavi Generati",'W Plur.'!$F107*'W. Month'!G$10))</f>
        <v>43833.635838567134</v>
      </c>
      <c r="H74" s="141">
        <f>IF($M$3="Quantità vendute",'W Plur.'!$F92*'W. Month'!H$10,IF($M$3="Ricavi Generati",'W Plur.'!$F107*'W. Month'!H$10))</f>
        <v>48530.164979151617</v>
      </c>
      <c r="I74" s="141">
        <f>IF($M$3="Quantità vendute",'W Plur.'!$F92*'W. Month'!I$10,IF($M$3="Ricavi Generati",'W Plur.'!$F107*'W. Month'!I$10))</f>
        <v>47462.416688932462</v>
      </c>
      <c r="J74" s="141">
        <f>IF($M$3="Quantità vendute",'W Plur.'!$F92*'W. Month'!J$10,IF($M$3="Ricavi Generati",'W Plur.'!$F107*'W. Month'!J$10))</f>
        <v>40091.344915657843</v>
      </c>
      <c r="K74" s="141">
        <f>IF($M$3="Quantità vendute",'W Plur.'!$F92*'W. Month'!K$10,IF($M$3="Ricavi Generati",'W Plur.'!$F107*'W. Month'!K$10))</f>
        <v>39536.128701833339</v>
      </c>
      <c r="L74" s="141">
        <f>IF($M$3="Quantità vendute",'W Plur.'!$F92*'W. Month'!L$10,IF($M$3="Ricavi Generati",'W Plur.'!$F107*'W. Month'!L$10))</f>
        <v>33738.751065318662</v>
      </c>
      <c r="M74" s="141">
        <f>IF($M$3="Quantità vendute",'W Plur.'!$F92*'W. Month'!M$10,IF($M$3="Ricavi Generati",'W Plur.'!$F107*'W. Month'!M$10))</f>
        <v>35295.990955968839</v>
      </c>
      <c r="N74" s="152">
        <f>SUM(B74:M74)</f>
        <v>488924.7663796363</v>
      </c>
      <c r="O74" s="276">
        <f>'Controll Panel'!F7</f>
        <v>0</v>
      </c>
    </row>
    <row r="75" spans="1:15" ht="16.5" customHeight="1">
      <c r="A75" s="548" t="str">
        <f t="shared" ref="A75:A85" si="22">A60</f>
        <v>Revenues during lunch</v>
      </c>
      <c r="B75" s="141">
        <f>IF($M$3="Quantità vendute",'W Plur.'!$F93*'W. Month'!B$10,IF($M$3="Ricavi Generati",'W Plur.'!$F108*'W. Month'!B$10))</f>
        <v>26179.415597802727</v>
      </c>
      <c r="C75" s="141">
        <f>IF($M$3="Quantità vendute",'W Plur.'!$F93*'W. Month'!C$10,IF($M$3="Ricavi Generati",'W Plur.'!$F108*'W. Month'!C$10))</f>
        <v>25427.884768809083</v>
      </c>
      <c r="D75" s="141">
        <f>IF($M$3="Quantità vendute",'W Plur.'!$F93*'W. Month'!D$10,IF($M$3="Ricavi Generati",'W Plur.'!$F108*'W. Month'!D$10))</f>
        <v>28364.921912257083</v>
      </c>
      <c r="E75" s="141">
        <f>IF($M$3="Quantità vendute",'W Plur.'!$F93*'W. Month'!E$10,IF($M$3="Ricavi Generati",'W Plur.'!$F108*'W. Month'!E$10))</f>
        <v>28050.032950833272</v>
      </c>
      <c r="F75" s="141">
        <f>IF($M$3="Quantità vendute",'W Plur.'!$F93*'W. Month'!F$10,IF($M$3="Ricavi Generati",'W Plur.'!$F108*'W. Month'!F$10))</f>
        <v>29419.801845182224</v>
      </c>
      <c r="G75" s="141">
        <f>IF($M$3="Quantità vendute",'W Plur.'!$F93*'W. Month'!G$10,IF($M$3="Ricavi Generati",'W Plur.'!$F108*'W. Month'!G$10))</f>
        <v>30057.35028930318</v>
      </c>
      <c r="H75" s="141">
        <f>IF($M$3="Quantità vendute",'W Plur.'!$F93*'W. Month'!H$10,IF($M$3="Ricavi Generati",'W Plur.'!$F108*'W. Month'!H$10))</f>
        <v>33277.827414275394</v>
      </c>
      <c r="I75" s="141">
        <f>IF($M$3="Quantità vendute",'W Plur.'!$F93*'W. Month'!I$10,IF($M$3="Ricavi Generati",'W Plur.'!$F108*'W. Month'!I$10))</f>
        <v>32545.657158125116</v>
      </c>
      <c r="J75" s="141">
        <f>IF($M$3="Quantità vendute",'W Plur.'!$F93*'W. Month'!J$10,IF($M$3="Ricavi Generati",'W Plur.'!$F108*'W. Month'!J$10))</f>
        <v>27491.207942165376</v>
      </c>
      <c r="K75" s="141">
        <f>IF($M$3="Quantità vendute",'W Plur.'!$F93*'W. Month'!K$10,IF($M$3="Ricavi Generati",'W Plur.'!$F108*'W. Month'!K$10))</f>
        <v>27110.488252685715</v>
      </c>
      <c r="L75" s="141">
        <f>IF($M$3="Quantità vendute",'W Plur.'!$F93*'W. Month'!L$10,IF($M$3="Ricavi Generati",'W Plur.'!$F108*'W. Month'!L$10))</f>
        <v>23135.143587647079</v>
      </c>
      <c r="M75" s="141">
        <f>IF($M$3="Quantità vendute",'W Plur.'!$F93*'W. Month'!M$10,IF($M$3="Ricavi Generati",'W Plur.'!$F108*'W. Month'!M$10))</f>
        <v>24202.965226950058</v>
      </c>
      <c r="N75" s="152">
        <f t="shared" ref="N75:N85" si="23">SUM(B75:M75)</f>
        <v>335262.6969460363</v>
      </c>
      <c r="O75" s="276">
        <f>O74</f>
        <v>0</v>
      </c>
    </row>
    <row r="76" spans="1:15" ht="16.5" customHeight="1">
      <c r="A76" s="548" t="str">
        <f t="shared" si="22"/>
        <v>Revenues after lunch</v>
      </c>
      <c r="B76" s="141">
        <f>IF($M$3="Quantità vendute",'W Plur.'!$F94*'W. Month'!B$10,IF($M$3="Ricavi Generati",'W Plur.'!$F109*'W. Month'!B$10))</f>
        <v>9397.7389325445693</v>
      </c>
      <c r="C76" s="141">
        <f>IF($M$3="Quantità vendute",'W Plur.'!$F94*'W. Month'!C$10,IF($M$3="Ricavi Generati",'W Plur.'!$F109*'W. Month'!C$10))</f>
        <v>9127.9586349571073</v>
      </c>
      <c r="D76" s="141">
        <f>IF($M$3="Quantità vendute",'W Plur.'!$F94*'W. Month'!D$10,IF($M$3="Ricavi Generati",'W Plur.'!$F109*'W. Month'!D$10))</f>
        <v>10182.279660810236</v>
      </c>
      <c r="E76" s="141">
        <f>IF($M$3="Quantità vendute",'W Plur.'!$F94*'W. Month'!E$10,IF($M$3="Ricavi Generati",'W Plur.'!$F109*'W. Month'!E$10))</f>
        <v>10069.242597735021</v>
      </c>
      <c r="F76" s="141">
        <f>IF($M$3="Quantità vendute",'W Plur.'!$F94*'W. Month'!F$10,IF($M$3="Ricavi Generati",'W Plur.'!$F109*'W. Month'!F$10))</f>
        <v>10560.954508526953</v>
      </c>
      <c r="G76" s="141">
        <f>IF($M$3="Quantità vendute",'W Plur.'!$F94*'W. Month'!G$10,IF($M$3="Ricavi Generati",'W Plur.'!$F109*'W. Month'!G$10))</f>
        <v>10789.818052570374</v>
      </c>
      <c r="H76" s="141">
        <f>IF($M$3="Quantità vendute",'W Plur.'!$F94*'W. Month'!H$10,IF($M$3="Ricavi Generati",'W Plur.'!$F109*'W. Month'!H$10))</f>
        <v>11945.886764098861</v>
      </c>
      <c r="I76" s="141">
        <f>IF($M$3="Quantità vendute",'W Plur.'!$F94*'W. Month'!I$10,IF($M$3="Ricavi Generati",'W Plur.'!$F109*'W. Month'!I$10))</f>
        <v>11683.056415737223</v>
      </c>
      <c r="J76" s="141">
        <f>IF($M$3="Quantità vendute",'W Plur.'!$F94*'W. Month'!J$10,IF($M$3="Ricavi Generati",'W Plur.'!$F109*'W. Month'!J$10))</f>
        <v>9868.6387484696243</v>
      </c>
      <c r="K76" s="141">
        <f>IF($M$3="Quantità vendute",'W Plur.'!$F94*'W. Month'!K$10,IF($M$3="Ricavi Generati",'W Plur.'!$F109*'W. Month'!K$10))</f>
        <v>9731.9701419897447</v>
      </c>
      <c r="L76" s="141">
        <f>IF($M$3="Quantità vendute",'W Plur.'!$F94*'W. Month'!L$10,IF($M$3="Ricavi Generati",'W Plur.'!$F109*'W. Month'!L$10))</f>
        <v>8304.9233391553626</v>
      </c>
      <c r="M76" s="141">
        <f>IF($M$3="Quantità vendute",'W Plur.'!$F94*'W. Month'!M$10,IF($M$3="Ricavi Generati",'W Plur.'!$F109*'W. Month'!M$10))</f>
        <v>8688.2439276230998</v>
      </c>
      <c r="N76" s="152">
        <f t="shared" si="23"/>
        <v>120350.71172421816</v>
      </c>
      <c r="O76" s="276">
        <f t="shared" ref="O76:O85" si="24">O75</f>
        <v>0</v>
      </c>
    </row>
    <row r="77" spans="1:15" ht="16.5" customHeight="1">
      <c r="A77" s="548" t="str">
        <f t="shared" si="22"/>
        <v>Revenues during dinner</v>
      </c>
      <c r="B77" s="141">
        <f>IF($M$3="Quantità vendute",'W Plur.'!$F95*'W. Month'!B$10,IF($M$3="Ricavi Generati",'W Plur.'!$F110*'W. Month'!B$10))</f>
        <v>3132.5796441815228</v>
      </c>
      <c r="C77" s="141">
        <f>IF($M$3="Quantità vendute",'W Plur.'!$F95*'W. Month'!C$10,IF($M$3="Ricavi Generati",'W Plur.'!$F110*'W. Month'!C$10))</f>
        <v>3042.6528783190352</v>
      </c>
      <c r="D77" s="141">
        <f>IF($M$3="Quantità vendute",'W Plur.'!$F95*'W. Month'!D$10,IF($M$3="Ricavi Generati",'W Plur.'!$F110*'W. Month'!D$10))</f>
        <v>3394.0932202700783</v>
      </c>
      <c r="E77" s="141">
        <f>IF($M$3="Quantità vendute",'W Plur.'!$F95*'W. Month'!E$10,IF($M$3="Ricavi Generati",'W Plur.'!$F110*'W. Month'!E$10))</f>
        <v>3356.4141992450063</v>
      </c>
      <c r="F77" s="141">
        <f>IF($M$3="Quantità vendute",'W Plur.'!$F95*'W. Month'!F$10,IF($M$3="Ricavi Generati",'W Plur.'!$F110*'W. Month'!F$10))</f>
        <v>3520.3181695089838</v>
      </c>
      <c r="G77" s="141">
        <f>IF($M$3="Quantità vendute",'W Plur.'!$F95*'W. Month'!G$10,IF($M$3="Ricavi Generati",'W Plur.'!$F110*'W. Month'!G$10))</f>
        <v>3596.606017523457</v>
      </c>
      <c r="H77" s="141">
        <f>IF($M$3="Quantità vendute",'W Plur.'!$F95*'W. Month'!H$10,IF($M$3="Ricavi Generati",'W Plur.'!$F110*'W. Month'!H$10))</f>
        <v>3981.9622546996193</v>
      </c>
      <c r="I77" s="141">
        <f>IF($M$3="Quantità vendute",'W Plur.'!$F95*'W. Month'!I$10,IF($M$3="Ricavi Generati",'W Plur.'!$F110*'W. Month'!I$10))</f>
        <v>3894.3521385790737</v>
      </c>
      <c r="J77" s="141">
        <f>IF($M$3="Quantità vendute",'W Plur.'!$F95*'W. Month'!J$10,IF($M$3="Ricavi Generati",'W Plur.'!$F110*'W. Month'!J$10))</f>
        <v>3289.5462494898738</v>
      </c>
      <c r="K77" s="141">
        <f>IF($M$3="Quantità vendute",'W Plur.'!$F95*'W. Month'!K$10,IF($M$3="Ricavi Generati",'W Plur.'!$F110*'W. Month'!K$10))</f>
        <v>3243.9900473299144</v>
      </c>
      <c r="L77" s="141">
        <f>IF($M$3="Quantità vendute",'W Plur.'!$F95*'W. Month'!L$10,IF($M$3="Ricavi Generati",'W Plur.'!$F110*'W. Month'!L$10))</f>
        <v>2768.3077797184537</v>
      </c>
      <c r="M77" s="141">
        <f>IF($M$3="Quantità vendute",'W Plur.'!$F95*'W. Month'!M$10,IF($M$3="Ricavi Generati",'W Plur.'!$F110*'W. Month'!M$10))</f>
        <v>2896.0813092076992</v>
      </c>
      <c r="N77" s="152">
        <f t="shared" si="23"/>
        <v>40116.903908072716</v>
      </c>
      <c r="O77" s="276">
        <f t="shared" si="24"/>
        <v>0</v>
      </c>
    </row>
    <row r="78" spans="1:15" ht="16.5" hidden="1" customHeight="1">
      <c r="A78" s="548" t="str">
        <f t="shared" si="22"/>
        <v>//</v>
      </c>
      <c r="B78" s="141">
        <f>IF($M$3="Quantità vendute",'W Plur.'!$F96*'W. Month'!B$10,IF($M$3="Ricavi Generati",'W Plur.'!$F111*'W. Month'!B$10))</f>
        <v>0</v>
      </c>
      <c r="C78" s="141">
        <f>IF($M$3="Quantità vendute",'W Plur.'!$F96*'W. Month'!C$10,IF($M$3="Ricavi Generati",'W Plur.'!$F111*'W. Month'!C$10))</f>
        <v>0</v>
      </c>
      <c r="D78" s="141">
        <f>IF($M$3="Quantità vendute",'W Plur.'!$F96*'W. Month'!D$10,IF($M$3="Ricavi Generati",'W Plur.'!$F111*'W. Month'!D$10))</f>
        <v>0</v>
      </c>
      <c r="E78" s="141">
        <f>IF($M$3="Quantità vendute",'W Plur.'!$F96*'W. Month'!E$10,IF($M$3="Ricavi Generati",'W Plur.'!$F111*'W. Month'!E$10))</f>
        <v>0</v>
      </c>
      <c r="F78" s="141">
        <f>IF($M$3="Quantità vendute",'W Plur.'!$F96*'W. Month'!F$10,IF($M$3="Ricavi Generati",'W Plur.'!$F111*'W. Month'!F$10))</f>
        <v>0</v>
      </c>
      <c r="G78" s="141">
        <f>IF($M$3="Quantità vendute",'W Plur.'!$F96*'W. Month'!G$10,IF($M$3="Ricavi Generati",'W Plur.'!$F111*'W. Month'!G$10))</f>
        <v>0</v>
      </c>
      <c r="H78" s="141">
        <f>IF($M$3="Quantità vendute",'W Plur.'!$F96*'W. Month'!H$10,IF($M$3="Ricavi Generati",'W Plur.'!$F111*'W. Month'!H$10))</f>
        <v>0</v>
      </c>
      <c r="I78" s="141">
        <f>IF($M$3="Quantità vendute",'W Plur.'!$F96*'W. Month'!I$10,IF($M$3="Ricavi Generati",'W Plur.'!$F111*'W. Month'!I$10))</f>
        <v>0</v>
      </c>
      <c r="J78" s="141">
        <f>IF($M$3="Quantità vendute",'W Plur.'!$F96*'W. Month'!J$10,IF($M$3="Ricavi Generati",'W Plur.'!$F111*'W. Month'!J$10))</f>
        <v>0</v>
      </c>
      <c r="K78" s="141">
        <f>IF($M$3="Quantità vendute",'W Plur.'!$F96*'W. Month'!K$10,IF($M$3="Ricavi Generati",'W Plur.'!$F111*'W. Month'!K$10))</f>
        <v>0</v>
      </c>
      <c r="L78" s="141">
        <f>IF($M$3="Quantità vendute",'W Plur.'!$F96*'W. Month'!L$10,IF($M$3="Ricavi Generati",'W Plur.'!$F111*'W. Month'!L$10))</f>
        <v>0</v>
      </c>
      <c r="M78" s="141">
        <f>IF($M$3="Quantità vendute",'W Plur.'!$F96*'W. Month'!M$10,IF($M$3="Ricavi Generati",'W Plur.'!$F111*'W. Month'!M$10))</f>
        <v>0</v>
      </c>
      <c r="N78" s="152">
        <f t="shared" si="23"/>
        <v>0</v>
      </c>
      <c r="O78" s="276">
        <f t="shared" si="24"/>
        <v>0</v>
      </c>
    </row>
    <row r="79" spans="1:15" ht="16.5" hidden="1" customHeight="1">
      <c r="A79" s="548" t="str">
        <f t="shared" si="22"/>
        <v>//</v>
      </c>
      <c r="B79" s="141">
        <f>IF($M$3="Quantità vendute",'W Plur.'!$F97*'W. Month'!B$10,IF($M$3="Ricavi Generati",'W Plur.'!$F112*'W. Month'!B$10))</f>
        <v>0</v>
      </c>
      <c r="C79" s="141">
        <f>IF($M$3="Quantità vendute",'W Plur.'!$F97*'W. Month'!C$10,IF($M$3="Ricavi Generati",'W Plur.'!$F112*'W. Month'!C$10))</f>
        <v>0</v>
      </c>
      <c r="D79" s="141">
        <f>IF($M$3="Quantità vendute",'W Plur.'!$F97*'W. Month'!D$10,IF($M$3="Ricavi Generati",'W Plur.'!$F112*'W. Month'!D$10))</f>
        <v>0</v>
      </c>
      <c r="E79" s="141">
        <f>IF($M$3="Quantità vendute",'W Plur.'!$F97*'W. Month'!E$10,IF($M$3="Ricavi Generati",'W Plur.'!$F112*'W. Month'!E$10))</f>
        <v>0</v>
      </c>
      <c r="F79" s="141">
        <f>IF($M$3="Quantità vendute",'W Plur.'!$F97*'W. Month'!F$10,IF($M$3="Ricavi Generati",'W Plur.'!$F112*'W. Month'!F$10))</f>
        <v>0</v>
      </c>
      <c r="G79" s="141">
        <f>IF($M$3="Quantità vendute",'W Plur.'!$F97*'W. Month'!G$10,IF($M$3="Ricavi Generati",'W Plur.'!$F112*'W. Month'!G$10))</f>
        <v>0</v>
      </c>
      <c r="H79" s="141">
        <f>IF($M$3="Quantità vendute",'W Plur.'!$F97*'W. Month'!H$10,IF($M$3="Ricavi Generati",'W Plur.'!$F112*'W. Month'!H$10))</f>
        <v>0</v>
      </c>
      <c r="I79" s="141">
        <f>IF($M$3="Quantità vendute",'W Plur.'!$F97*'W. Month'!I$10,IF($M$3="Ricavi Generati",'W Plur.'!$F112*'W. Month'!I$10))</f>
        <v>0</v>
      </c>
      <c r="J79" s="141">
        <f>IF($M$3="Quantità vendute",'W Plur.'!$F97*'W. Month'!J$10,IF($M$3="Ricavi Generati",'W Plur.'!$F112*'W. Month'!J$10))</f>
        <v>0</v>
      </c>
      <c r="K79" s="141">
        <f>IF($M$3="Quantità vendute",'W Plur.'!$F97*'W. Month'!K$10,IF($M$3="Ricavi Generati",'W Plur.'!$F112*'W. Month'!K$10))</f>
        <v>0</v>
      </c>
      <c r="L79" s="141">
        <f>IF($M$3="Quantità vendute",'W Plur.'!$F97*'W. Month'!L$10,IF($M$3="Ricavi Generati",'W Plur.'!$F112*'W. Month'!L$10))</f>
        <v>0</v>
      </c>
      <c r="M79" s="141">
        <f>IF($M$3="Quantità vendute",'W Plur.'!$F97*'W. Month'!M$10,IF($M$3="Ricavi Generati",'W Plur.'!$F112*'W. Month'!M$10))</f>
        <v>0</v>
      </c>
      <c r="N79" s="152">
        <f t="shared" si="23"/>
        <v>0</v>
      </c>
      <c r="O79" s="276">
        <f t="shared" si="24"/>
        <v>0</v>
      </c>
    </row>
    <row r="80" spans="1:15" ht="16.5" hidden="1" customHeight="1">
      <c r="A80" s="548" t="str">
        <f t="shared" si="22"/>
        <v>//</v>
      </c>
      <c r="B80" s="141">
        <f>IF($M$3="Quantità vendute",'W Plur.'!$F98*'W. Month'!B$10,IF($M$3="Ricavi Generati",'W Plur.'!$F113*'W. Month'!B$10))</f>
        <v>0</v>
      </c>
      <c r="C80" s="141">
        <f>IF($M$3="Quantità vendute",'W Plur.'!$F98*'W. Month'!C$10,IF($M$3="Ricavi Generati",'W Plur.'!$F113*'W. Month'!C$10))</f>
        <v>0</v>
      </c>
      <c r="D80" s="141">
        <f>IF($M$3="Quantità vendute",'W Plur.'!$F98*'W. Month'!D$10,IF($M$3="Ricavi Generati",'W Plur.'!$F113*'W. Month'!D$10))</f>
        <v>0</v>
      </c>
      <c r="E80" s="141">
        <f>IF($M$3="Quantità vendute",'W Plur.'!$F98*'W. Month'!E$10,IF($M$3="Ricavi Generati",'W Plur.'!$F113*'W. Month'!E$10))</f>
        <v>0</v>
      </c>
      <c r="F80" s="141">
        <f>IF($M$3="Quantità vendute",'W Plur.'!$F98*'W. Month'!F$10,IF($M$3="Ricavi Generati",'W Plur.'!$F113*'W. Month'!F$10))</f>
        <v>0</v>
      </c>
      <c r="G80" s="141">
        <f>IF($M$3="Quantità vendute",'W Plur.'!$F98*'W. Month'!G$10,IF($M$3="Ricavi Generati",'W Plur.'!$F113*'W. Month'!G$10))</f>
        <v>0</v>
      </c>
      <c r="H80" s="141">
        <f>IF($M$3="Quantità vendute",'W Plur.'!$F98*'W. Month'!H$10,IF($M$3="Ricavi Generati",'W Plur.'!$F113*'W. Month'!H$10))</f>
        <v>0</v>
      </c>
      <c r="I80" s="141">
        <f>IF($M$3="Quantità vendute",'W Plur.'!$F98*'W. Month'!I$10,IF($M$3="Ricavi Generati",'W Plur.'!$F113*'W. Month'!I$10))</f>
        <v>0</v>
      </c>
      <c r="J80" s="141">
        <f>IF($M$3="Quantità vendute",'W Plur.'!$F98*'W. Month'!J$10,IF($M$3="Ricavi Generati",'W Plur.'!$F113*'W. Month'!J$10))</f>
        <v>0</v>
      </c>
      <c r="K80" s="141">
        <f>IF($M$3="Quantità vendute",'W Plur.'!$F98*'W. Month'!K$10,IF($M$3="Ricavi Generati",'W Plur.'!$F113*'W. Month'!K$10))</f>
        <v>0</v>
      </c>
      <c r="L80" s="141">
        <f>IF($M$3="Quantità vendute",'W Plur.'!$F98*'W. Month'!L$10,IF($M$3="Ricavi Generati",'W Plur.'!$F113*'W. Month'!L$10))</f>
        <v>0</v>
      </c>
      <c r="M80" s="141">
        <f>IF($M$3="Quantità vendute",'W Plur.'!$F98*'W. Month'!M$10,IF($M$3="Ricavi Generati",'W Plur.'!$F113*'W. Month'!M$10))</f>
        <v>0</v>
      </c>
      <c r="N80" s="152">
        <f t="shared" si="23"/>
        <v>0</v>
      </c>
      <c r="O80" s="276">
        <f t="shared" si="24"/>
        <v>0</v>
      </c>
    </row>
    <row r="81" spans="1:15" ht="16.5" hidden="1" customHeight="1">
      <c r="A81" s="548" t="str">
        <f t="shared" si="22"/>
        <v>//</v>
      </c>
      <c r="B81" s="141">
        <f>IF($M$3="Quantità vendute",'W Plur.'!$F99*'W. Month'!B$10,IF($M$3="Ricavi Generati",'W Plur.'!$F114*'W. Month'!B$10))</f>
        <v>0</v>
      </c>
      <c r="C81" s="141">
        <f>IF($M$3="Quantità vendute",'W Plur.'!$F99*'W. Month'!C$10,IF($M$3="Ricavi Generati",'W Plur.'!$F114*'W. Month'!C$10))</f>
        <v>0</v>
      </c>
      <c r="D81" s="141">
        <f>IF($M$3="Quantità vendute",'W Plur.'!$F99*'W. Month'!D$10,IF($M$3="Ricavi Generati",'W Plur.'!$F114*'W. Month'!D$10))</f>
        <v>0</v>
      </c>
      <c r="E81" s="141">
        <f>IF($M$3="Quantità vendute",'W Plur.'!$F99*'W. Month'!E$10,IF($M$3="Ricavi Generati",'W Plur.'!$F114*'W. Month'!E$10))</f>
        <v>0</v>
      </c>
      <c r="F81" s="141">
        <f>IF($M$3="Quantità vendute",'W Plur.'!$F99*'W. Month'!F$10,IF($M$3="Ricavi Generati",'W Plur.'!$F114*'W. Month'!F$10))</f>
        <v>0</v>
      </c>
      <c r="G81" s="141">
        <f>IF($M$3="Quantità vendute",'W Plur.'!$F99*'W. Month'!G$10,IF($M$3="Ricavi Generati",'W Plur.'!$F114*'W. Month'!G$10))</f>
        <v>0</v>
      </c>
      <c r="H81" s="141">
        <f>IF($M$3="Quantità vendute",'W Plur.'!$F99*'W. Month'!H$10,IF($M$3="Ricavi Generati",'W Plur.'!$F114*'W. Month'!H$10))</f>
        <v>0</v>
      </c>
      <c r="I81" s="141">
        <f>IF($M$3="Quantità vendute",'W Plur.'!$F99*'W. Month'!I$10,IF($M$3="Ricavi Generati",'W Plur.'!$F114*'W. Month'!I$10))</f>
        <v>0</v>
      </c>
      <c r="J81" s="141">
        <f>IF($M$3="Quantità vendute",'W Plur.'!$F99*'W. Month'!J$10,IF($M$3="Ricavi Generati",'W Plur.'!$F114*'W. Month'!J$10))</f>
        <v>0</v>
      </c>
      <c r="K81" s="141">
        <f>IF($M$3="Quantità vendute",'W Plur.'!$F99*'W. Month'!K$10,IF($M$3="Ricavi Generati",'W Plur.'!$F114*'W. Month'!K$10))</f>
        <v>0</v>
      </c>
      <c r="L81" s="141">
        <f>IF($M$3="Quantità vendute",'W Plur.'!$F99*'W. Month'!L$10,IF($M$3="Ricavi Generati",'W Plur.'!$F114*'W. Month'!L$10))</f>
        <v>0</v>
      </c>
      <c r="M81" s="141">
        <f>IF($M$3="Quantità vendute",'W Plur.'!$F99*'W. Month'!M$10,IF($M$3="Ricavi Generati",'W Plur.'!$F114*'W. Month'!M$10))</f>
        <v>0</v>
      </c>
      <c r="N81" s="152">
        <f t="shared" si="23"/>
        <v>0</v>
      </c>
      <c r="O81" s="276">
        <f t="shared" si="24"/>
        <v>0</v>
      </c>
    </row>
    <row r="82" spans="1:15" ht="16.5" hidden="1" customHeight="1">
      <c r="A82" s="548" t="str">
        <f t="shared" si="22"/>
        <v>//</v>
      </c>
      <c r="B82" s="141">
        <f>IF($M$3="Quantità vendute",'W Plur.'!$F100*'W. Month'!B$10,IF($M$3="Ricavi Generati",'W Plur.'!$F115*'W. Month'!B$10))</f>
        <v>0</v>
      </c>
      <c r="C82" s="141">
        <f>IF($M$3="Quantità vendute",'W Plur.'!$F100*'W. Month'!C$10,IF($M$3="Ricavi Generati",'W Plur.'!$F115*'W. Month'!C$10))</f>
        <v>0</v>
      </c>
      <c r="D82" s="141">
        <f>IF($M$3="Quantità vendute",'W Plur.'!$F100*'W. Month'!D$10,IF($M$3="Ricavi Generati",'W Plur.'!$F115*'W. Month'!D$10))</f>
        <v>0</v>
      </c>
      <c r="E82" s="141">
        <f>IF($M$3="Quantità vendute",'W Plur.'!$F100*'W. Month'!E$10,IF($M$3="Ricavi Generati",'W Plur.'!$F115*'W. Month'!E$10))</f>
        <v>0</v>
      </c>
      <c r="F82" s="141">
        <f>IF($M$3="Quantità vendute",'W Plur.'!$F100*'W. Month'!F$10,IF($M$3="Ricavi Generati",'W Plur.'!$F115*'W. Month'!F$10))</f>
        <v>0</v>
      </c>
      <c r="G82" s="141">
        <f>IF($M$3="Quantità vendute",'W Plur.'!$F100*'W. Month'!G$10,IF($M$3="Ricavi Generati",'W Plur.'!$F115*'W. Month'!G$10))</f>
        <v>0</v>
      </c>
      <c r="H82" s="141">
        <f>IF($M$3="Quantità vendute",'W Plur.'!$F100*'W. Month'!H$10,IF($M$3="Ricavi Generati",'W Plur.'!$F115*'W. Month'!H$10))</f>
        <v>0</v>
      </c>
      <c r="I82" s="141">
        <f>IF($M$3="Quantità vendute",'W Plur.'!$F100*'W. Month'!I$10,IF($M$3="Ricavi Generati",'W Plur.'!$F115*'W. Month'!I$10))</f>
        <v>0</v>
      </c>
      <c r="J82" s="141">
        <f>IF($M$3="Quantità vendute",'W Plur.'!$F100*'W. Month'!J$10,IF($M$3="Ricavi Generati",'W Plur.'!$F115*'W. Month'!J$10))</f>
        <v>0</v>
      </c>
      <c r="K82" s="141">
        <f>IF($M$3="Quantità vendute",'W Plur.'!$F100*'W. Month'!K$10,IF($M$3="Ricavi Generati",'W Plur.'!$F115*'W. Month'!K$10))</f>
        <v>0</v>
      </c>
      <c r="L82" s="141">
        <f>IF($M$3="Quantità vendute",'W Plur.'!$F100*'W. Month'!L$10,IF($M$3="Ricavi Generati",'W Plur.'!$F115*'W. Month'!L$10))</f>
        <v>0</v>
      </c>
      <c r="M82" s="141">
        <f>IF($M$3="Quantità vendute",'W Plur.'!$F100*'W. Month'!M$10,IF($M$3="Ricavi Generati",'W Plur.'!$F115*'W. Month'!M$10))</f>
        <v>0</v>
      </c>
      <c r="N82" s="152">
        <f t="shared" si="23"/>
        <v>0</v>
      </c>
      <c r="O82" s="276">
        <f t="shared" si="24"/>
        <v>0</v>
      </c>
    </row>
    <row r="83" spans="1:15" ht="16.5" hidden="1" customHeight="1">
      <c r="A83" s="548" t="str">
        <f t="shared" si="22"/>
        <v>//</v>
      </c>
      <c r="B83" s="141">
        <f>IF($M$3="Quantità vendute",'W Plur.'!$F101*'W. Month'!B$10,IF($M$3="Ricavi Generati",'W Plur.'!$F116*'W. Month'!B$10))</f>
        <v>0</v>
      </c>
      <c r="C83" s="141">
        <f>IF($M$3="Quantità vendute",'W Plur.'!$F101*'W. Month'!C$10,IF($M$3="Ricavi Generati",'W Plur.'!$F116*'W. Month'!C$10))</f>
        <v>0</v>
      </c>
      <c r="D83" s="141">
        <f>IF($M$3="Quantità vendute",'W Plur.'!$F101*'W. Month'!D$10,IF($M$3="Ricavi Generati",'W Plur.'!$F116*'W. Month'!D$10))</f>
        <v>0</v>
      </c>
      <c r="E83" s="141">
        <f>IF($M$3="Quantità vendute",'W Plur.'!$F101*'W. Month'!E$10,IF($M$3="Ricavi Generati",'W Plur.'!$F116*'W. Month'!E$10))</f>
        <v>0</v>
      </c>
      <c r="F83" s="141">
        <f>IF($M$3="Quantità vendute",'W Plur.'!$F101*'W. Month'!F$10,IF($M$3="Ricavi Generati",'W Plur.'!$F116*'W. Month'!F$10))</f>
        <v>0</v>
      </c>
      <c r="G83" s="141">
        <f>IF($M$3="Quantità vendute",'W Plur.'!$F101*'W. Month'!G$10,IF($M$3="Ricavi Generati",'W Plur.'!$F116*'W. Month'!G$10))</f>
        <v>0</v>
      </c>
      <c r="H83" s="141">
        <f>IF($M$3="Quantità vendute",'W Plur.'!$F101*'W. Month'!H$10,IF($M$3="Ricavi Generati",'W Plur.'!$F116*'W. Month'!H$10))</f>
        <v>0</v>
      </c>
      <c r="I83" s="141">
        <f>IF($M$3="Quantità vendute",'W Plur.'!$F101*'W. Month'!I$10,IF($M$3="Ricavi Generati",'W Plur.'!$F116*'W. Month'!I$10))</f>
        <v>0</v>
      </c>
      <c r="J83" s="141">
        <f>IF($M$3="Quantità vendute",'W Plur.'!$F101*'W. Month'!J$10,IF($M$3="Ricavi Generati",'W Plur.'!$F116*'W. Month'!J$10))</f>
        <v>0</v>
      </c>
      <c r="K83" s="141">
        <f>IF($M$3="Quantità vendute",'W Plur.'!$F101*'W. Month'!K$10,IF($M$3="Ricavi Generati",'W Plur.'!$F116*'W. Month'!K$10))</f>
        <v>0</v>
      </c>
      <c r="L83" s="141">
        <f>IF($M$3="Quantità vendute",'W Plur.'!$F101*'W. Month'!L$10,IF($M$3="Ricavi Generati",'W Plur.'!$F116*'W. Month'!L$10))</f>
        <v>0</v>
      </c>
      <c r="M83" s="141">
        <f>IF($M$3="Quantità vendute",'W Plur.'!$F101*'W. Month'!M$10,IF($M$3="Ricavi Generati",'W Plur.'!$F116*'W. Month'!M$10))</f>
        <v>0</v>
      </c>
      <c r="N83" s="152">
        <f t="shared" si="23"/>
        <v>0</v>
      </c>
      <c r="O83" s="276">
        <f t="shared" si="24"/>
        <v>0</v>
      </c>
    </row>
    <row r="84" spans="1:15" ht="16.5" hidden="1" customHeight="1">
      <c r="A84" s="548" t="str">
        <f t="shared" si="22"/>
        <v>//</v>
      </c>
      <c r="B84" s="141">
        <f>IF($M$3="Quantità vendute",'W Plur.'!$F102*'W. Month'!B$10,IF($M$3="Ricavi Generati",'W Plur.'!$F117*'W. Month'!B$10))</f>
        <v>0</v>
      </c>
      <c r="C84" s="141">
        <f>IF($M$3="Quantità vendute",'W Plur.'!$F102*'W. Month'!C$10,IF($M$3="Ricavi Generati",'W Plur.'!$F117*'W. Month'!C$10))</f>
        <v>0</v>
      </c>
      <c r="D84" s="141">
        <f>IF($M$3="Quantità vendute",'W Plur.'!$F102*'W. Month'!D$10,IF($M$3="Ricavi Generati",'W Plur.'!$F117*'W. Month'!D$10))</f>
        <v>0</v>
      </c>
      <c r="E84" s="141">
        <f>IF($M$3="Quantità vendute",'W Plur.'!$F102*'W. Month'!E$10,IF($M$3="Ricavi Generati",'W Plur.'!$F117*'W. Month'!E$10))</f>
        <v>0</v>
      </c>
      <c r="F84" s="141">
        <f>IF($M$3="Quantità vendute",'W Plur.'!$F102*'W. Month'!F$10,IF($M$3="Ricavi Generati",'W Plur.'!$F117*'W. Month'!F$10))</f>
        <v>0</v>
      </c>
      <c r="G84" s="141">
        <f>IF($M$3="Quantità vendute",'W Plur.'!$F102*'W. Month'!G$10,IF($M$3="Ricavi Generati",'W Plur.'!$F117*'W. Month'!G$10))</f>
        <v>0</v>
      </c>
      <c r="H84" s="141">
        <f>IF($M$3="Quantità vendute",'W Plur.'!$F102*'W. Month'!H$10,IF($M$3="Ricavi Generati",'W Plur.'!$F117*'W. Month'!H$10))</f>
        <v>0</v>
      </c>
      <c r="I84" s="141">
        <f>IF($M$3="Quantità vendute",'W Plur.'!$F102*'W. Month'!I$10,IF($M$3="Ricavi Generati",'W Plur.'!$F117*'W. Month'!I$10))</f>
        <v>0</v>
      </c>
      <c r="J84" s="141">
        <f>IF($M$3="Quantità vendute",'W Plur.'!$F102*'W. Month'!J$10,IF($M$3="Ricavi Generati",'W Plur.'!$F117*'W. Month'!J$10))</f>
        <v>0</v>
      </c>
      <c r="K84" s="141">
        <f>IF($M$3="Quantità vendute",'W Plur.'!$F102*'W. Month'!K$10,IF($M$3="Ricavi Generati",'W Plur.'!$F117*'W. Month'!K$10))</f>
        <v>0</v>
      </c>
      <c r="L84" s="141">
        <f>IF($M$3="Quantità vendute",'W Plur.'!$F102*'W. Month'!L$10,IF($M$3="Ricavi Generati",'W Plur.'!$F117*'W. Month'!L$10))</f>
        <v>0</v>
      </c>
      <c r="M84" s="141">
        <f>IF($M$3="Quantità vendute",'W Plur.'!$F102*'W. Month'!M$10,IF($M$3="Ricavi Generati",'W Plur.'!$F117*'W. Month'!M$10))</f>
        <v>0</v>
      </c>
      <c r="N84" s="152">
        <f t="shared" si="23"/>
        <v>0</v>
      </c>
      <c r="O84" s="276">
        <f t="shared" si="24"/>
        <v>0</v>
      </c>
    </row>
    <row r="85" spans="1:15" ht="16.5" hidden="1" customHeight="1">
      <c r="A85" s="548" t="str">
        <f t="shared" si="22"/>
        <v>//</v>
      </c>
      <c r="B85" s="141">
        <f>IF($M$3="Quantità vendute",'W Plur.'!$F103*'W. Month'!B$10,IF($M$3="Ricavi Generati",'W Plur.'!$F118*'W. Month'!B$10))</f>
        <v>0</v>
      </c>
      <c r="C85" s="141">
        <f>IF($M$3="Quantità vendute",'W Plur.'!$F103*'W. Month'!C$10,IF($M$3="Ricavi Generati",'W Plur.'!$F118*'W. Month'!C$10))</f>
        <v>0</v>
      </c>
      <c r="D85" s="141">
        <f>IF($M$3="Quantità vendute",'W Plur.'!$F103*'W. Month'!D$10,IF($M$3="Ricavi Generati",'W Plur.'!$F118*'W. Month'!D$10))</f>
        <v>0</v>
      </c>
      <c r="E85" s="141">
        <f>IF($M$3="Quantità vendute",'W Plur.'!$F103*'W. Month'!E$10,IF($M$3="Ricavi Generati",'W Plur.'!$F118*'W. Month'!E$10))</f>
        <v>0</v>
      </c>
      <c r="F85" s="141">
        <f>IF($M$3="Quantità vendute",'W Plur.'!$F103*'W. Month'!F$10,IF($M$3="Ricavi Generati",'W Plur.'!$F118*'W. Month'!F$10))</f>
        <v>0</v>
      </c>
      <c r="G85" s="141">
        <f>IF($M$3="Quantità vendute",'W Plur.'!$F103*'W. Month'!G$10,IF($M$3="Ricavi Generati",'W Plur.'!$F118*'W. Month'!G$10))</f>
        <v>0</v>
      </c>
      <c r="H85" s="141">
        <f>IF($M$3="Quantità vendute",'W Plur.'!$F103*'W. Month'!H$10,IF($M$3="Ricavi Generati",'W Plur.'!$F118*'W. Month'!H$10))</f>
        <v>0</v>
      </c>
      <c r="I85" s="141">
        <f>IF($M$3="Quantità vendute",'W Plur.'!$F103*'W. Month'!I$10,IF($M$3="Ricavi Generati",'W Plur.'!$F118*'W. Month'!I$10))</f>
        <v>0</v>
      </c>
      <c r="J85" s="141">
        <f>IF($M$3="Quantità vendute",'W Plur.'!$F103*'W. Month'!J$10,IF($M$3="Ricavi Generati",'W Plur.'!$F118*'W. Month'!J$10))</f>
        <v>0</v>
      </c>
      <c r="K85" s="141">
        <f>IF($M$3="Quantità vendute",'W Plur.'!$F103*'W. Month'!K$10,IF($M$3="Ricavi Generati",'W Plur.'!$F118*'W. Month'!K$10))</f>
        <v>0</v>
      </c>
      <c r="L85" s="141">
        <f>IF($M$3="Quantità vendute",'W Plur.'!$F103*'W. Month'!L$10,IF($M$3="Ricavi Generati",'W Plur.'!$F118*'W. Month'!L$10))</f>
        <v>0</v>
      </c>
      <c r="M85" s="141">
        <f>IF($M$3="Quantità vendute",'W Plur.'!$F103*'W. Month'!M$10,IF($M$3="Ricavi Generati",'W Plur.'!$F118*'W. Month'!M$10))</f>
        <v>0</v>
      </c>
      <c r="N85" s="152">
        <f t="shared" si="23"/>
        <v>0</v>
      </c>
      <c r="O85" s="276">
        <f t="shared" si="24"/>
        <v>0</v>
      </c>
    </row>
    <row r="86" spans="1:15" ht="16.5" customHeight="1" thickBot="1">
      <c r="A86" s="270" t="str">
        <f>A71</f>
        <v>Total</v>
      </c>
      <c r="B86" s="277">
        <f>SUM(B74:B85)</f>
        <v>76888.048587991114</v>
      </c>
      <c r="C86" s="277">
        <f t="shared" ref="C86:M86" si="25">SUM(C74:C85)</f>
        <v>74680.828236598463</v>
      </c>
      <c r="D86" s="277">
        <f t="shared" si="25"/>
        <v>83306.80591537898</v>
      </c>
      <c r="E86" s="277">
        <f t="shared" si="25"/>
        <v>82381.987801111813</v>
      </c>
      <c r="F86" s="277">
        <f t="shared" si="25"/>
        <v>86404.952214108896</v>
      </c>
      <c r="G86" s="277">
        <f t="shared" si="25"/>
        <v>88277.410197964156</v>
      </c>
      <c r="H86" s="277">
        <f t="shared" si="25"/>
        <v>97735.841412225491</v>
      </c>
      <c r="I86" s="277">
        <f t="shared" si="25"/>
        <v>95585.482401373883</v>
      </c>
      <c r="J86" s="277">
        <f t="shared" si="25"/>
        <v>80740.737855782718</v>
      </c>
      <c r="K86" s="277">
        <f t="shared" si="25"/>
        <v>79622.577143838716</v>
      </c>
      <c r="L86" s="277">
        <f t="shared" si="25"/>
        <v>67947.125771839565</v>
      </c>
      <c r="M86" s="277">
        <f t="shared" si="25"/>
        <v>71083.281419749692</v>
      </c>
      <c r="N86" s="277">
        <f>SUM(B86:M86)</f>
        <v>984655.0789579635</v>
      </c>
      <c r="O86" s="278">
        <f>AVERAGE(O74:O85)</f>
        <v>0</v>
      </c>
    </row>
    <row r="87" spans="1:15" ht="16.5" customHeight="1" thickTop="1"/>
    <row r="88" spans="1:15" ht="16.5" customHeight="1"/>
    <row r="89" spans="1:15" ht="16.5" customHeight="1"/>
    <row r="90" spans="1:15" ht="16.5" customHeight="1"/>
    <row r="91" spans="1:15" ht="16.5" customHeight="1"/>
    <row r="92" spans="1:15" ht="16.5" customHeight="1"/>
    <row r="93" spans="1:15" ht="16.5" customHeight="1"/>
    <row r="94" spans="1:15" ht="16.5" customHeight="1"/>
    <row r="95" spans="1:15" ht="16.5" customHeight="1"/>
    <row r="96" spans="1:15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</sheetData>
  <sheetProtection algorithmName="SHA-512" hashValue="QooylDkeTMyALMVMRdqoqP+xvsg7aJkmasK6nr8DjXombNAaZ6+rr7TSFlL+Quptpf7ubzSzKSBzca9Av+5BrQ==" saltValue="BlDQSa4ojM1fPkaOBCskbw==" spinCount="100000" sheet="1" selectLockedCells="1"/>
  <mergeCells count="5">
    <mergeCell ref="A1:O1"/>
    <mergeCell ref="A2:O2"/>
    <mergeCell ref="K3:L3"/>
    <mergeCell ref="M3:O3"/>
    <mergeCell ref="E3:H3"/>
  </mergeCells>
  <conditionalFormatting sqref="B11:M11">
    <cfRule type="aboveAverage" dxfId="6" priority="1" stopIfTrue="1" aboveAverage="0"/>
    <cfRule type="aboveAverage" dxfId="5" priority="2" stopIfTrue="1"/>
  </conditionalFormatting>
  <conditionalFormatting sqref="O6:O10">
    <cfRule type="cellIs" dxfId="4" priority="14" stopIfTrue="1" operator="equal">
      <formula>"Da verificare"</formula>
    </cfRule>
  </conditionalFormatting>
  <dataValidations count="2">
    <dataValidation type="list" allowBlank="1" showInputMessage="1" showErrorMessage="1" sqref="M3:O3" xr:uid="{00000000-0002-0000-0600-000000000000}">
      <formula1>"Ricavi generati,Quantità vendute"</formula1>
    </dataValidation>
    <dataValidation type="list" allowBlank="1" showInputMessage="1" showErrorMessage="1" sqref="B3" xr:uid="{00000000-0002-0000-0600-000001000000}">
      <formula1>"Budget,Forecast,Consuntivo"</formula1>
    </dataValidation>
  </dataValidations>
  <printOptions horizontalCentered="1"/>
  <pageMargins left="0.19685039370078741" right="0.19685039370078741" top="0.19685039370078741" bottom="0.19685039370078741" header="0" footer="0"/>
  <pageSetup paperSize="9" scale="50" fitToHeight="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glio3"/>
  <dimension ref="A1:AB160"/>
  <sheetViews>
    <sheetView zoomScale="106" zoomScaleNormal="100" workbookViewId="0">
      <pane ySplit="7" topLeftCell="A106" activePane="bottomLeft" state="frozen"/>
      <selection pane="bottomLeft" activeCell="F5" sqref="F5"/>
    </sheetView>
  </sheetViews>
  <sheetFormatPr defaultColWidth="9" defaultRowHeight="23.25" customHeight="1"/>
  <cols>
    <col min="1" max="1" width="37.7109375" style="3" bestFit="1" customWidth="1"/>
    <col min="2" max="2" width="32.5703125" style="3" bestFit="1" customWidth="1"/>
    <col min="3" max="3" width="16.5703125" style="3" bestFit="1" customWidth="1"/>
    <col min="4" max="6" width="16" style="3" bestFit="1" customWidth="1"/>
    <col min="7" max="7" width="17.28515625" style="3" bestFit="1" customWidth="1"/>
    <col min="8" max="8" width="3.85546875" style="3" customWidth="1"/>
    <col min="9" max="9" width="15" style="3" bestFit="1" customWidth="1"/>
    <col min="10" max="13" width="14.85546875" style="3" bestFit="1" customWidth="1"/>
    <col min="14" max="14" width="2" style="3" bestFit="1" customWidth="1"/>
    <col min="15" max="15" width="14.85546875" style="3" bestFit="1" customWidth="1"/>
    <col min="16" max="16" width="2" style="3" customWidth="1"/>
    <col min="17" max="17" width="14.85546875" style="3" customWidth="1"/>
    <col min="18" max="18" width="2" style="3" customWidth="1"/>
    <col min="19" max="19" width="8" style="3" bestFit="1" customWidth="1"/>
    <col min="20" max="20" width="12.85546875" style="3" bestFit="1" customWidth="1"/>
    <col min="21" max="21" width="2" style="3" customWidth="1"/>
    <col min="22" max="23" width="16" style="3" bestFit="1" customWidth="1"/>
    <col min="24" max="25" width="14.85546875" style="3" bestFit="1" customWidth="1"/>
    <col min="26" max="26" width="17.28515625" style="3" bestFit="1" customWidth="1"/>
    <col min="27" max="27" width="2" style="3" customWidth="1"/>
    <col min="28" max="28" width="13.5703125" style="3" customWidth="1"/>
    <col min="29" max="29" width="11" style="3" customWidth="1"/>
    <col min="30" max="30" width="11.5703125" style="3" customWidth="1"/>
    <col min="31" max="16384" width="9" style="3"/>
  </cols>
  <sheetData>
    <row r="1" spans="1:28" ht="30" customHeight="1">
      <c r="A1" s="554" t="str">
        <f>Menù!D3</f>
        <v>Trovato 1929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</row>
    <row r="2" spans="1:28" ht="43.5" customHeight="1">
      <c r="A2" s="555" t="str">
        <f>Menù!A2</f>
        <v>Budget e Business Plan</v>
      </c>
      <c r="B2" s="555"/>
      <c r="C2" s="555"/>
      <c r="D2" s="555"/>
      <c r="E2" s="555"/>
      <c r="F2" s="555"/>
      <c r="G2" s="555"/>
      <c r="H2" s="555"/>
      <c r="I2" s="555"/>
      <c r="J2" s="555"/>
      <c r="K2" s="555"/>
      <c r="L2" s="555"/>
      <c r="M2" s="555"/>
      <c r="N2" s="555"/>
      <c r="O2" s="555"/>
      <c r="P2" s="555"/>
      <c r="Q2" s="555"/>
      <c r="R2" s="555"/>
      <c r="S2" s="555"/>
      <c r="T2" s="555"/>
      <c r="U2" s="555"/>
      <c r="V2" s="555"/>
      <c r="W2" s="555"/>
      <c r="X2" s="555"/>
      <c r="Y2" s="555"/>
      <c r="Z2" s="555"/>
      <c r="AA2" s="555"/>
      <c r="AB2" s="555"/>
    </row>
    <row r="3" spans="1:28" ht="15" customHeight="1">
      <c r="A3" s="556" t="s">
        <v>107</v>
      </c>
      <c r="B3" s="556"/>
      <c r="C3" s="556"/>
      <c r="D3" s="556"/>
      <c r="E3" s="556"/>
      <c r="F3" s="556"/>
      <c r="G3" s="556"/>
      <c r="H3" s="556"/>
      <c r="I3" s="556"/>
      <c r="J3" s="556"/>
      <c r="K3" s="556"/>
      <c r="L3" s="556"/>
      <c r="M3" s="556"/>
      <c r="N3" s="556"/>
      <c r="O3" s="556"/>
      <c r="P3" s="556"/>
      <c r="Q3" s="556"/>
      <c r="R3" s="556"/>
      <c r="S3" s="556"/>
      <c r="T3" s="556"/>
      <c r="U3" s="556"/>
      <c r="V3" s="556"/>
      <c r="W3" s="556"/>
      <c r="X3" s="556"/>
      <c r="Y3" s="556"/>
      <c r="Z3" s="556"/>
      <c r="AA3" s="556"/>
      <c r="AB3" s="556"/>
    </row>
    <row r="4" spans="1:28" ht="10.5" customHeight="1">
      <c r="A4" s="205"/>
      <c r="B4" s="205"/>
      <c r="C4" s="205"/>
      <c r="D4" s="205"/>
      <c r="E4" s="205"/>
      <c r="F4" s="205"/>
    </row>
    <row r="5" spans="1:28" ht="16.5" customHeight="1">
      <c r="A5" s="206" t="s">
        <v>108</v>
      </c>
      <c r="B5" s="206" t="s">
        <v>109</v>
      </c>
      <c r="C5" s="207">
        <f>'W Plur.'!B5</f>
        <v>2025</v>
      </c>
      <c r="D5" s="207">
        <f>C5+1</f>
        <v>2026</v>
      </c>
      <c r="E5" s="207">
        <f>D5+1</f>
        <v>2027</v>
      </c>
      <c r="F5" s="207">
        <f>E5+1</f>
        <v>2028</v>
      </c>
      <c r="G5" s="207">
        <f>F5+1</f>
        <v>2029</v>
      </c>
      <c r="H5" s="207" t="s">
        <v>110</v>
      </c>
      <c r="I5" s="207">
        <f>C5</f>
        <v>2025</v>
      </c>
      <c r="J5" s="207">
        <f>D5</f>
        <v>2026</v>
      </c>
      <c r="K5" s="207">
        <f>E5</f>
        <v>2027</v>
      </c>
      <c r="L5" s="207">
        <f>F5</f>
        <v>2028</v>
      </c>
      <c r="M5" s="207">
        <f>G5</f>
        <v>2029</v>
      </c>
      <c r="N5" s="208"/>
      <c r="O5" s="207" t="s">
        <v>111</v>
      </c>
      <c r="P5" s="209"/>
      <c r="Q5" s="207" t="s">
        <v>112</v>
      </c>
      <c r="R5" s="208"/>
      <c r="S5" s="207" t="s">
        <v>113</v>
      </c>
      <c r="T5" s="207" t="s">
        <v>114</v>
      </c>
      <c r="U5" s="208"/>
      <c r="V5" s="207">
        <f>I5</f>
        <v>2025</v>
      </c>
      <c r="W5" s="207">
        <f>J5</f>
        <v>2026</v>
      </c>
      <c r="X5" s="207">
        <f>K5</f>
        <v>2027</v>
      </c>
      <c r="Y5" s="207">
        <f>L5</f>
        <v>2028</v>
      </c>
      <c r="Z5" s="207">
        <f>M5</f>
        <v>2029</v>
      </c>
      <c r="AB5" s="207" t="s">
        <v>115</v>
      </c>
    </row>
    <row r="6" spans="1:28" ht="16.5" customHeight="1">
      <c r="A6" s="210"/>
      <c r="B6" s="210"/>
      <c r="C6" s="209"/>
      <c r="D6" s="209"/>
      <c r="E6" s="209"/>
      <c r="F6" s="209"/>
      <c r="G6" s="209"/>
      <c r="H6" s="208"/>
      <c r="I6" s="209"/>
      <c r="J6" s="209"/>
      <c r="K6" s="209"/>
      <c r="L6" s="209"/>
      <c r="M6" s="209"/>
      <c r="N6" s="208"/>
      <c r="O6" s="209"/>
      <c r="P6" s="209"/>
      <c r="Q6" s="209"/>
      <c r="R6" s="208"/>
      <c r="S6" s="209"/>
      <c r="T6" s="209"/>
      <c r="U6" s="208"/>
      <c r="V6" s="209"/>
      <c r="W6" s="209"/>
      <c r="X6" s="209"/>
      <c r="Y6" s="209"/>
      <c r="Z6" s="209"/>
      <c r="AB6" s="209"/>
    </row>
    <row r="7" spans="1:28" ht="16.5" customHeight="1" thickBot="1">
      <c r="A7" s="563" t="s">
        <v>116</v>
      </c>
      <c r="B7" s="563"/>
      <c r="C7" s="563"/>
      <c r="D7" s="563"/>
      <c r="E7" s="563"/>
      <c r="F7" s="563"/>
      <c r="G7" s="563"/>
      <c r="H7" s="211" t="s">
        <v>26</v>
      </c>
      <c r="I7" s="563" t="s">
        <v>117</v>
      </c>
      <c r="J7" s="563"/>
      <c r="K7" s="563"/>
      <c r="L7" s="563"/>
      <c r="M7" s="563"/>
      <c r="N7" s="212"/>
      <c r="O7" s="213">
        <f>C5</f>
        <v>2025</v>
      </c>
      <c r="P7" s="214"/>
      <c r="Q7" s="213" t="s">
        <v>112</v>
      </c>
      <c r="R7" s="212"/>
      <c r="S7" s="215" t="s">
        <v>82</v>
      </c>
      <c r="T7" s="213" t="s">
        <v>118</v>
      </c>
      <c r="U7" s="212"/>
      <c r="V7" s="563" t="s">
        <v>119</v>
      </c>
      <c r="W7" s="563"/>
      <c r="X7" s="563"/>
      <c r="Y7" s="563"/>
      <c r="Z7" s="563"/>
      <c r="AB7" s="216"/>
    </row>
    <row r="8" spans="1:28" ht="16.5" customHeight="1" thickTop="1">
      <c r="A8" s="573" t="s">
        <v>120</v>
      </c>
      <c r="B8" s="2" t="s">
        <v>121</v>
      </c>
      <c r="C8" s="217">
        <v>0</v>
      </c>
      <c r="D8" s="217">
        <v>0</v>
      </c>
      <c r="E8" s="217">
        <v>0</v>
      </c>
      <c r="F8" s="217">
        <v>0</v>
      </c>
      <c r="G8" s="217">
        <v>0</v>
      </c>
      <c r="H8" s="217" t="s">
        <v>122</v>
      </c>
      <c r="I8" s="217">
        <f>IF(H8="A",C8/AB8,0)</f>
        <v>0</v>
      </c>
      <c r="J8" s="217">
        <f>I8+D8/AB8</f>
        <v>0</v>
      </c>
      <c r="K8" s="217">
        <f>J8+E8/AB8</f>
        <v>0</v>
      </c>
      <c r="L8" s="217">
        <f>K8+F8/AB8</f>
        <v>0</v>
      </c>
      <c r="M8" s="217">
        <f>L8+G8/AB8</f>
        <v>0</v>
      </c>
      <c r="N8" s="218"/>
      <c r="O8" s="570">
        <f>SUM(I8:I12)</f>
        <v>0</v>
      </c>
      <c r="P8" s="540"/>
      <c r="Q8" s="219" t="s">
        <v>123</v>
      </c>
      <c r="R8" s="218"/>
      <c r="S8" s="220">
        <v>0.22</v>
      </c>
      <c r="T8" s="217">
        <f>C8*S8</f>
        <v>0</v>
      </c>
      <c r="U8" s="218"/>
      <c r="V8" s="217">
        <f>C8-I8</f>
        <v>0</v>
      </c>
      <c r="W8" s="217">
        <f>(C8-C8/AB8-C8/AB8)+(D8-D8/AB8)</f>
        <v>0</v>
      </c>
      <c r="X8" s="217">
        <f>(C8-C8/AB8-C8/AB8-C8/AB8)+(D8-D8/AB8-D8/AB8)+(E8-E8/AB8)</f>
        <v>0</v>
      </c>
      <c r="Y8" s="217">
        <f>(C8-C8/AB8-C8/AB8-C8/AB8-C8/AB8)+(D8-D8/AB8-D8/AB8-D8/AB8)+(E8-E8/AB8-E8/AB8)+(F8-F8/AB8)</f>
        <v>0</v>
      </c>
      <c r="Z8" s="217">
        <f>(C8-C8/AB8-C8/AB8-C8/AB8-C8/AB8-C8/AB8)+(D8-D8/AB8-D8/AB8-D8/AB8-D8/AB8)+(E8-E8/AB8-E8/AB8-E8/AB8)+(F8-F8/AB8-F8/AB8)+(G8-G8/AB8)</f>
        <v>0</v>
      </c>
      <c r="AB8" s="221">
        <v>5</v>
      </c>
    </row>
    <row r="9" spans="1:28" ht="16.5" customHeight="1">
      <c r="A9" s="573"/>
      <c r="B9" s="2" t="s">
        <v>124</v>
      </c>
      <c r="C9" s="217">
        <v>0</v>
      </c>
      <c r="D9" s="217">
        <v>0</v>
      </c>
      <c r="E9" s="217">
        <v>0</v>
      </c>
      <c r="F9" s="217">
        <v>0</v>
      </c>
      <c r="G9" s="217">
        <v>0</v>
      </c>
      <c r="H9" s="217" t="s">
        <v>122</v>
      </c>
      <c r="I9" s="217">
        <f t="shared" ref="I9:I36" si="0">IF(H9="A",C9/AB9,0)</f>
        <v>0</v>
      </c>
      <c r="J9" s="217">
        <f t="shared" ref="J9:J36" si="1">I9+D9/AB9</f>
        <v>0</v>
      </c>
      <c r="K9" s="217">
        <f t="shared" ref="K9:K36" si="2">J9+E9/AB9</f>
        <v>0</v>
      </c>
      <c r="L9" s="217">
        <f t="shared" ref="L9:L36" si="3">K9+F9/AB9</f>
        <v>0</v>
      </c>
      <c r="M9" s="217">
        <f t="shared" ref="M9:M36" si="4">L9+G9/AB9</f>
        <v>0</v>
      </c>
      <c r="N9" s="218"/>
      <c r="O9" s="571"/>
      <c r="P9" s="540"/>
      <c r="Q9" s="219" t="s">
        <v>123</v>
      </c>
      <c r="R9" s="218"/>
      <c r="S9" s="220">
        <v>0.22</v>
      </c>
      <c r="T9" s="217">
        <f t="shared" ref="T9:T36" si="5">C9*S9</f>
        <v>0</v>
      </c>
      <c r="U9" s="218"/>
      <c r="V9" s="217">
        <f t="shared" ref="V9:V36" si="6">C9-I9</f>
        <v>0</v>
      </c>
      <c r="W9" s="217">
        <f t="shared" ref="W9:W36" si="7">(C9-C9/AB9-C9/AB9)+(D9-D9/AB9)</f>
        <v>0</v>
      </c>
      <c r="X9" s="217">
        <f t="shared" ref="X9:X36" si="8">(C9-C9/AB9-C9/AB9-C9/AB9)+(D9-D9/AB9-D9/AB9)+(E9-E9/AB9)</f>
        <v>0</v>
      </c>
      <c r="Y9" s="217">
        <f t="shared" ref="Y9:Y36" si="9">(C9-C9/AB9-C9/AB9-C9/AB9-C9/AB9)+(D9-D9/AB9-D9/AB9-D9/AB9)+(E9-E9/AB9-E9/AB9)+(F9-F9/AB9)</f>
        <v>0</v>
      </c>
      <c r="Z9" s="217">
        <f t="shared" ref="Z9:Z36" si="10">(C9-C9/AB9-C9/AB9-C9/AB9-C9/AB9-C9/AB9)+(D9-D9/AB9-D9/AB9-D9/AB9-D9/AB9)+(E9-E9/AB9-E9/AB9-E9/AB9)+(F9-F9/AB9-F9/AB9)+(G9-G9/AB9)</f>
        <v>0</v>
      </c>
      <c r="AB9" s="221">
        <v>5</v>
      </c>
    </row>
    <row r="10" spans="1:28" ht="16.5" customHeight="1">
      <c r="A10" s="573"/>
      <c r="B10" s="2" t="s">
        <v>124</v>
      </c>
      <c r="C10" s="217">
        <v>0</v>
      </c>
      <c r="D10" s="217">
        <v>0</v>
      </c>
      <c r="E10" s="217">
        <v>0</v>
      </c>
      <c r="F10" s="217">
        <v>0</v>
      </c>
      <c r="G10" s="217">
        <v>0</v>
      </c>
      <c r="H10" s="217" t="s">
        <v>122</v>
      </c>
      <c r="I10" s="217">
        <f t="shared" si="0"/>
        <v>0</v>
      </c>
      <c r="J10" s="217">
        <f t="shared" si="1"/>
        <v>0</v>
      </c>
      <c r="K10" s="217">
        <f t="shared" si="2"/>
        <v>0</v>
      </c>
      <c r="L10" s="217">
        <f t="shared" si="3"/>
        <v>0</v>
      </c>
      <c r="M10" s="217">
        <f t="shared" si="4"/>
        <v>0</v>
      </c>
      <c r="N10" s="218"/>
      <c r="O10" s="571"/>
      <c r="P10" s="540"/>
      <c r="Q10" s="219" t="s">
        <v>123</v>
      </c>
      <c r="R10" s="218"/>
      <c r="S10" s="220">
        <v>0.22</v>
      </c>
      <c r="T10" s="217">
        <f t="shared" si="5"/>
        <v>0</v>
      </c>
      <c r="U10" s="218"/>
      <c r="V10" s="217">
        <f t="shared" si="6"/>
        <v>0</v>
      </c>
      <c r="W10" s="217">
        <f t="shared" si="7"/>
        <v>0</v>
      </c>
      <c r="X10" s="217">
        <f t="shared" si="8"/>
        <v>0</v>
      </c>
      <c r="Y10" s="217">
        <f t="shared" si="9"/>
        <v>0</v>
      </c>
      <c r="Z10" s="217">
        <f t="shared" si="10"/>
        <v>0</v>
      </c>
      <c r="AB10" s="221">
        <v>5</v>
      </c>
    </row>
    <row r="11" spans="1:28" ht="16.5" customHeight="1">
      <c r="A11" s="573"/>
      <c r="B11" s="2" t="s">
        <v>124</v>
      </c>
      <c r="C11" s="217">
        <v>0</v>
      </c>
      <c r="D11" s="217">
        <v>0</v>
      </c>
      <c r="E11" s="217">
        <v>0</v>
      </c>
      <c r="F11" s="217">
        <v>0</v>
      </c>
      <c r="G11" s="217">
        <v>0</v>
      </c>
      <c r="H11" s="217" t="s">
        <v>122</v>
      </c>
      <c r="I11" s="217">
        <f t="shared" si="0"/>
        <v>0</v>
      </c>
      <c r="J11" s="217">
        <f t="shared" si="1"/>
        <v>0</v>
      </c>
      <c r="K11" s="217">
        <f t="shared" si="2"/>
        <v>0</v>
      </c>
      <c r="L11" s="217">
        <f t="shared" si="3"/>
        <v>0</v>
      </c>
      <c r="M11" s="217">
        <f t="shared" si="4"/>
        <v>0</v>
      </c>
      <c r="N11" s="218"/>
      <c r="O11" s="571"/>
      <c r="P11" s="540"/>
      <c r="Q11" s="219" t="s">
        <v>123</v>
      </c>
      <c r="R11" s="218"/>
      <c r="S11" s="220">
        <v>0.22</v>
      </c>
      <c r="T11" s="217">
        <f t="shared" si="5"/>
        <v>0</v>
      </c>
      <c r="U11" s="218"/>
      <c r="V11" s="217">
        <f t="shared" si="6"/>
        <v>0</v>
      </c>
      <c r="W11" s="217">
        <f t="shared" si="7"/>
        <v>0</v>
      </c>
      <c r="X11" s="217">
        <f t="shared" si="8"/>
        <v>0</v>
      </c>
      <c r="Y11" s="217">
        <f t="shared" si="9"/>
        <v>0</v>
      </c>
      <c r="Z11" s="217">
        <f t="shared" si="10"/>
        <v>0</v>
      </c>
      <c r="AB11" s="221">
        <v>5</v>
      </c>
    </row>
    <row r="12" spans="1:28" ht="16.5" customHeight="1">
      <c r="A12" s="574"/>
      <c r="B12" s="222" t="s">
        <v>124</v>
      </c>
      <c r="C12" s="223">
        <v>0</v>
      </c>
      <c r="D12" s="223">
        <v>0</v>
      </c>
      <c r="E12" s="223">
        <v>0</v>
      </c>
      <c r="F12" s="223">
        <v>0</v>
      </c>
      <c r="G12" s="223">
        <v>0</v>
      </c>
      <c r="H12" s="223" t="s">
        <v>122</v>
      </c>
      <c r="I12" s="217">
        <f t="shared" si="0"/>
        <v>0</v>
      </c>
      <c r="J12" s="223">
        <f t="shared" si="1"/>
        <v>0</v>
      </c>
      <c r="K12" s="223">
        <f t="shared" si="2"/>
        <v>0</v>
      </c>
      <c r="L12" s="223">
        <f t="shared" si="3"/>
        <v>0</v>
      </c>
      <c r="M12" s="223">
        <f t="shared" si="4"/>
        <v>0</v>
      </c>
      <c r="N12" s="218"/>
      <c r="O12" s="572"/>
      <c r="P12" s="540"/>
      <c r="Q12" s="224" t="s">
        <v>123</v>
      </c>
      <c r="R12" s="218"/>
      <c r="S12" s="225">
        <v>0.22</v>
      </c>
      <c r="T12" s="223">
        <f t="shared" si="5"/>
        <v>0</v>
      </c>
      <c r="U12" s="218"/>
      <c r="V12" s="223">
        <f t="shared" si="6"/>
        <v>0</v>
      </c>
      <c r="W12" s="223">
        <f t="shared" si="7"/>
        <v>0</v>
      </c>
      <c r="X12" s="223">
        <f t="shared" si="8"/>
        <v>0</v>
      </c>
      <c r="Y12" s="223">
        <f t="shared" si="9"/>
        <v>0</v>
      </c>
      <c r="Z12" s="223">
        <f t="shared" si="10"/>
        <v>0</v>
      </c>
      <c r="AB12" s="221">
        <v>5</v>
      </c>
    </row>
    <row r="13" spans="1:28" ht="16.5" customHeight="1">
      <c r="A13" s="561" t="s">
        <v>125</v>
      </c>
      <c r="B13" s="2" t="s">
        <v>126</v>
      </c>
      <c r="C13" s="217">
        <f>'PoS ren. costs'!D24</f>
        <v>250498.8</v>
      </c>
      <c r="D13" s="217">
        <v>0</v>
      </c>
      <c r="E13" s="217">
        <v>0</v>
      </c>
      <c r="F13" s="217">
        <v>0</v>
      </c>
      <c r="G13" s="217">
        <v>0</v>
      </c>
      <c r="H13" s="217" t="s">
        <v>122</v>
      </c>
      <c r="I13" s="217">
        <f t="shared" si="0"/>
        <v>35785.542857142857</v>
      </c>
      <c r="J13" s="217">
        <f t="shared" si="1"/>
        <v>35785.542857142857</v>
      </c>
      <c r="K13" s="217">
        <f t="shared" si="2"/>
        <v>35785.542857142857</v>
      </c>
      <c r="L13" s="217">
        <f t="shared" si="3"/>
        <v>35785.542857142857</v>
      </c>
      <c r="M13" s="217">
        <f t="shared" si="4"/>
        <v>35785.542857142857</v>
      </c>
      <c r="N13" s="218"/>
      <c r="O13" s="567">
        <f>SUM(I13:I16)</f>
        <v>35785.542857142857</v>
      </c>
      <c r="P13" s="540"/>
      <c r="Q13" s="219" t="s">
        <v>123</v>
      </c>
      <c r="R13" s="218"/>
      <c r="S13" s="220">
        <v>0.22</v>
      </c>
      <c r="T13" s="217">
        <f t="shared" si="5"/>
        <v>55109.735999999997</v>
      </c>
      <c r="U13" s="218"/>
      <c r="V13" s="217">
        <f t="shared" si="6"/>
        <v>214713.25714285712</v>
      </c>
      <c r="W13" s="217">
        <f t="shared" si="7"/>
        <v>178927.71428571426</v>
      </c>
      <c r="X13" s="217">
        <f t="shared" si="8"/>
        <v>143142.1714285714</v>
      </c>
      <c r="Y13" s="217">
        <f t="shared" si="9"/>
        <v>107356.62857142853</v>
      </c>
      <c r="Z13" s="217">
        <f t="shared" si="10"/>
        <v>71571.085714285669</v>
      </c>
      <c r="AB13" s="226">
        <v>7</v>
      </c>
    </row>
    <row r="14" spans="1:28" ht="16.5" customHeight="1">
      <c r="A14" s="561"/>
      <c r="B14" s="2" t="s">
        <v>124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 t="s">
        <v>122</v>
      </c>
      <c r="I14" s="217">
        <f t="shared" si="0"/>
        <v>0</v>
      </c>
      <c r="J14" s="217">
        <f t="shared" si="1"/>
        <v>0</v>
      </c>
      <c r="K14" s="217">
        <f t="shared" si="2"/>
        <v>0</v>
      </c>
      <c r="L14" s="217">
        <f t="shared" si="3"/>
        <v>0</v>
      </c>
      <c r="M14" s="217">
        <f t="shared" si="4"/>
        <v>0</v>
      </c>
      <c r="N14" s="218"/>
      <c r="O14" s="571"/>
      <c r="P14" s="540"/>
      <c r="Q14" s="219" t="s">
        <v>123</v>
      </c>
      <c r="R14" s="218"/>
      <c r="S14" s="220">
        <v>0.22</v>
      </c>
      <c r="T14" s="217">
        <f t="shared" si="5"/>
        <v>0</v>
      </c>
      <c r="U14" s="218"/>
      <c r="V14" s="217">
        <f t="shared" si="6"/>
        <v>0</v>
      </c>
      <c r="W14" s="217">
        <f t="shared" si="7"/>
        <v>0</v>
      </c>
      <c r="X14" s="217">
        <f t="shared" si="8"/>
        <v>0</v>
      </c>
      <c r="Y14" s="217">
        <f t="shared" si="9"/>
        <v>0</v>
      </c>
      <c r="Z14" s="217">
        <f t="shared" si="10"/>
        <v>0</v>
      </c>
      <c r="AB14" s="221">
        <v>7</v>
      </c>
    </row>
    <row r="15" spans="1:28" ht="16.5" customHeight="1">
      <c r="A15" s="561"/>
      <c r="B15" s="2" t="s">
        <v>124</v>
      </c>
      <c r="C15" s="217">
        <v>0</v>
      </c>
      <c r="D15" s="217">
        <v>0</v>
      </c>
      <c r="E15" s="217">
        <v>0</v>
      </c>
      <c r="F15" s="217">
        <v>0</v>
      </c>
      <c r="G15" s="217">
        <v>0</v>
      </c>
      <c r="H15" s="217" t="s">
        <v>122</v>
      </c>
      <c r="I15" s="217">
        <f t="shared" si="0"/>
        <v>0</v>
      </c>
      <c r="J15" s="217">
        <f t="shared" si="1"/>
        <v>0</v>
      </c>
      <c r="K15" s="217">
        <f t="shared" si="2"/>
        <v>0</v>
      </c>
      <c r="L15" s="217">
        <f t="shared" si="3"/>
        <v>0</v>
      </c>
      <c r="M15" s="217">
        <f t="shared" si="4"/>
        <v>0</v>
      </c>
      <c r="N15" s="218"/>
      <c r="O15" s="571"/>
      <c r="P15" s="540"/>
      <c r="Q15" s="219" t="s">
        <v>123</v>
      </c>
      <c r="R15" s="218"/>
      <c r="S15" s="220">
        <v>0.22</v>
      </c>
      <c r="T15" s="217">
        <f t="shared" si="5"/>
        <v>0</v>
      </c>
      <c r="U15" s="218"/>
      <c r="V15" s="217">
        <f t="shared" si="6"/>
        <v>0</v>
      </c>
      <c r="W15" s="217">
        <f t="shared" si="7"/>
        <v>0</v>
      </c>
      <c r="X15" s="217">
        <f t="shared" si="8"/>
        <v>0</v>
      </c>
      <c r="Y15" s="217">
        <f t="shared" si="9"/>
        <v>0</v>
      </c>
      <c r="Z15" s="217">
        <f t="shared" si="10"/>
        <v>0</v>
      </c>
      <c r="AB15" s="221">
        <v>7</v>
      </c>
    </row>
    <row r="16" spans="1:28" ht="16.5" customHeight="1">
      <c r="A16" s="562"/>
      <c r="B16" s="222" t="s">
        <v>124</v>
      </c>
      <c r="C16" s="223">
        <v>0</v>
      </c>
      <c r="D16" s="223">
        <v>0</v>
      </c>
      <c r="E16" s="223">
        <v>0</v>
      </c>
      <c r="F16" s="223">
        <v>0</v>
      </c>
      <c r="G16" s="223">
        <v>0</v>
      </c>
      <c r="H16" s="223" t="s">
        <v>122</v>
      </c>
      <c r="I16" s="217">
        <f t="shared" si="0"/>
        <v>0</v>
      </c>
      <c r="J16" s="223">
        <f t="shared" si="1"/>
        <v>0</v>
      </c>
      <c r="K16" s="223">
        <f t="shared" si="2"/>
        <v>0</v>
      </c>
      <c r="L16" s="223">
        <f t="shared" si="3"/>
        <v>0</v>
      </c>
      <c r="M16" s="223">
        <f t="shared" si="4"/>
        <v>0</v>
      </c>
      <c r="N16" s="218"/>
      <c r="O16" s="572"/>
      <c r="P16" s="540"/>
      <c r="Q16" s="224" t="s">
        <v>123</v>
      </c>
      <c r="R16" s="218"/>
      <c r="S16" s="225">
        <v>0.22</v>
      </c>
      <c r="T16" s="223">
        <f t="shared" si="5"/>
        <v>0</v>
      </c>
      <c r="U16" s="218"/>
      <c r="V16" s="223">
        <f t="shared" si="6"/>
        <v>0</v>
      </c>
      <c r="W16" s="223">
        <f t="shared" si="7"/>
        <v>0</v>
      </c>
      <c r="X16" s="223">
        <f t="shared" si="8"/>
        <v>0</v>
      </c>
      <c r="Y16" s="223">
        <f t="shared" si="9"/>
        <v>0</v>
      </c>
      <c r="Z16" s="223">
        <f t="shared" si="10"/>
        <v>0</v>
      </c>
      <c r="AB16" s="227">
        <v>7</v>
      </c>
    </row>
    <row r="17" spans="1:28" ht="16.5" hidden="1" customHeight="1">
      <c r="A17" s="560" t="s">
        <v>127</v>
      </c>
      <c r="B17" s="2" t="s">
        <v>128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 t="s">
        <v>122</v>
      </c>
      <c r="I17" s="217">
        <f t="shared" si="0"/>
        <v>0</v>
      </c>
      <c r="J17" s="217">
        <f t="shared" si="1"/>
        <v>0</v>
      </c>
      <c r="K17" s="217">
        <f t="shared" si="2"/>
        <v>0</v>
      </c>
      <c r="L17" s="217">
        <f t="shared" si="3"/>
        <v>0</v>
      </c>
      <c r="M17" s="217">
        <f t="shared" si="4"/>
        <v>0</v>
      </c>
      <c r="N17" s="218"/>
      <c r="O17" s="567">
        <f>SUM(I17:I19)</f>
        <v>0</v>
      </c>
      <c r="P17" s="540"/>
      <c r="Q17" s="219"/>
      <c r="R17" s="218"/>
      <c r="S17" s="220">
        <v>0.22</v>
      </c>
      <c r="T17" s="217">
        <f t="shared" si="5"/>
        <v>0</v>
      </c>
      <c r="U17" s="218"/>
      <c r="V17" s="217">
        <f t="shared" si="6"/>
        <v>0</v>
      </c>
      <c r="W17" s="217">
        <f t="shared" si="7"/>
        <v>0</v>
      </c>
      <c r="X17" s="217">
        <f t="shared" si="8"/>
        <v>0</v>
      </c>
      <c r="Y17" s="217">
        <f t="shared" si="9"/>
        <v>0</v>
      </c>
      <c r="Z17" s="217">
        <f t="shared" si="10"/>
        <v>0</v>
      </c>
      <c r="AB17" s="221">
        <v>5</v>
      </c>
    </row>
    <row r="18" spans="1:28" ht="16.5" hidden="1" customHeight="1">
      <c r="A18" s="561"/>
      <c r="B18" s="2" t="s">
        <v>129</v>
      </c>
      <c r="C18" s="217">
        <v>0</v>
      </c>
      <c r="D18" s="217">
        <v>0</v>
      </c>
      <c r="E18" s="217">
        <v>0</v>
      </c>
      <c r="F18" s="217">
        <v>0</v>
      </c>
      <c r="G18" s="217">
        <v>0</v>
      </c>
      <c r="H18" s="217" t="s">
        <v>122</v>
      </c>
      <c r="I18" s="217">
        <f t="shared" si="0"/>
        <v>0</v>
      </c>
      <c r="J18" s="217">
        <f t="shared" si="1"/>
        <v>0</v>
      </c>
      <c r="K18" s="217">
        <f t="shared" si="2"/>
        <v>0</v>
      </c>
      <c r="L18" s="217">
        <f t="shared" si="3"/>
        <v>0</v>
      </c>
      <c r="M18" s="217">
        <f t="shared" si="4"/>
        <v>0</v>
      </c>
      <c r="N18" s="218"/>
      <c r="O18" s="571"/>
      <c r="P18" s="540"/>
      <c r="Q18" s="219"/>
      <c r="R18" s="218"/>
      <c r="S18" s="220">
        <v>0.22</v>
      </c>
      <c r="T18" s="217">
        <f t="shared" si="5"/>
        <v>0</v>
      </c>
      <c r="U18" s="218"/>
      <c r="V18" s="217">
        <f t="shared" si="6"/>
        <v>0</v>
      </c>
      <c r="W18" s="217">
        <f t="shared" si="7"/>
        <v>0</v>
      </c>
      <c r="X18" s="217">
        <f t="shared" si="8"/>
        <v>0</v>
      </c>
      <c r="Y18" s="217">
        <f t="shared" si="9"/>
        <v>0</v>
      </c>
      <c r="Z18" s="217">
        <f t="shared" si="10"/>
        <v>0</v>
      </c>
      <c r="AB18" s="221">
        <v>10</v>
      </c>
    </row>
    <row r="19" spans="1:28" ht="16.5" hidden="1" customHeight="1">
      <c r="A19" s="562"/>
      <c r="B19" s="222" t="s">
        <v>130</v>
      </c>
      <c r="C19" s="223">
        <v>0</v>
      </c>
      <c r="D19" s="223">
        <v>0</v>
      </c>
      <c r="E19" s="223">
        <v>0</v>
      </c>
      <c r="F19" s="223">
        <v>0</v>
      </c>
      <c r="G19" s="223">
        <v>0</v>
      </c>
      <c r="H19" s="223" t="s">
        <v>122</v>
      </c>
      <c r="I19" s="217">
        <f t="shared" si="0"/>
        <v>0</v>
      </c>
      <c r="J19" s="223">
        <f t="shared" si="1"/>
        <v>0</v>
      </c>
      <c r="K19" s="223">
        <f t="shared" si="2"/>
        <v>0</v>
      </c>
      <c r="L19" s="223">
        <f t="shared" si="3"/>
        <v>0</v>
      </c>
      <c r="M19" s="223">
        <f t="shared" si="4"/>
        <v>0</v>
      </c>
      <c r="N19" s="218"/>
      <c r="O19" s="572"/>
      <c r="P19" s="540"/>
      <c r="Q19" s="224"/>
      <c r="R19" s="218"/>
      <c r="S19" s="225">
        <v>0.22</v>
      </c>
      <c r="T19" s="223">
        <f t="shared" si="5"/>
        <v>0</v>
      </c>
      <c r="U19" s="218"/>
      <c r="V19" s="223">
        <f t="shared" si="6"/>
        <v>0</v>
      </c>
      <c r="W19" s="223">
        <f t="shared" si="7"/>
        <v>0</v>
      </c>
      <c r="X19" s="223">
        <f t="shared" si="8"/>
        <v>0</v>
      </c>
      <c r="Y19" s="223">
        <f t="shared" si="9"/>
        <v>0</v>
      </c>
      <c r="Z19" s="223">
        <f t="shared" si="10"/>
        <v>0</v>
      </c>
      <c r="AB19" s="221">
        <v>5</v>
      </c>
    </row>
    <row r="20" spans="1:28" ht="16.5" hidden="1" customHeight="1">
      <c r="A20" s="560" t="s">
        <v>131</v>
      </c>
      <c r="B20" s="2" t="s">
        <v>132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 t="s">
        <v>122</v>
      </c>
      <c r="I20" s="217">
        <f t="shared" si="0"/>
        <v>0</v>
      </c>
      <c r="J20" s="217">
        <f t="shared" si="1"/>
        <v>0</v>
      </c>
      <c r="K20" s="217">
        <f t="shared" si="2"/>
        <v>0</v>
      </c>
      <c r="L20" s="217">
        <f>K20+F20/AB20</f>
        <v>0</v>
      </c>
      <c r="M20" s="217">
        <f t="shared" si="4"/>
        <v>0</v>
      </c>
      <c r="N20" s="218"/>
      <c r="O20" s="567">
        <f>SUM(I20:I23)</f>
        <v>0</v>
      </c>
      <c r="P20" s="540"/>
      <c r="Q20" s="219"/>
      <c r="R20" s="218"/>
      <c r="S20" s="220">
        <v>0.22</v>
      </c>
      <c r="T20" s="217">
        <f t="shared" si="5"/>
        <v>0</v>
      </c>
      <c r="U20" s="218"/>
      <c r="V20" s="217">
        <f t="shared" si="6"/>
        <v>0</v>
      </c>
      <c r="W20" s="217">
        <f t="shared" si="7"/>
        <v>0</v>
      </c>
      <c r="X20" s="217">
        <f t="shared" si="8"/>
        <v>0</v>
      </c>
      <c r="Y20" s="217">
        <f t="shared" si="9"/>
        <v>0</v>
      </c>
      <c r="Z20" s="217">
        <f t="shared" si="10"/>
        <v>0</v>
      </c>
      <c r="AB20" s="226">
        <v>5</v>
      </c>
    </row>
    <row r="21" spans="1:28" ht="16.5" hidden="1" customHeight="1">
      <c r="A21" s="561"/>
      <c r="B21" s="2" t="s">
        <v>130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 t="s">
        <v>122</v>
      </c>
      <c r="I21" s="217">
        <f t="shared" si="0"/>
        <v>0</v>
      </c>
      <c r="J21" s="217">
        <f t="shared" si="1"/>
        <v>0</v>
      </c>
      <c r="K21" s="217">
        <f t="shared" si="2"/>
        <v>0</v>
      </c>
      <c r="L21" s="217">
        <f t="shared" si="3"/>
        <v>0</v>
      </c>
      <c r="M21" s="217">
        <f t="shared" si="4"/>
        <v>0</v>
      </c>
      <c r="N21" s="218"/>
      <c r="O21" s="571"/>
      <c r="P21" s="540"/>
      <c r="Q21" s="219"/>
      <c r="R21" s="218"/>
      <c r="S21" s="220">
        <v>0.22</v>
      </c>
      <c r="T21" s="217">
        <f t="shared" si="5"/>
        <v>0</v>
      </c>
      <c r="U21" s="218"/>
      <c r="V21" s="217">
        <f t="shared" si="6"/>
        <v>0</v>
      </c>
      <c r="W21" s="217">
        <f t="shared" si="7"/>
        <v>0</v>
      </c>
      <c r="X21" s="217">
        <f t="shared" si="8"/>
        <v>0</v>
      </c>
      <c r="Y21" s="217">
        <f t="shared" si="9"/>
        <v>0</v>
      </c>
      <c r="Z21" s="217">
        <f t="shared" si="10"/>
        <v>0</v>
      </c>
      <c r="AB21" s="221">
        <v>5</v>
      </c>
    </row>
    <row r="22" spans="1:28" ht="16.5" hidden="1" customHeight="1">
      <c r="A22" s="561"/>
      <c r="B22" s="2" t="s">
        <v>130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 t="s">
        <v>122</v>
      </c>
      <c r="I22" s="217">
        <f t="shared" si="0"/>
        <v>0</v>
      </c>
      <c r="J22" s="217">
        <f t="shared" si="1"/>
        <v>0</v>
      </c>
      <c r="K22" s="217">
        <f t="shared" si="2"/>
        <v>0</v>
      </c>
      <c r="L22" s="217">
        <f t="shared" si="3"/>
        <v>0</v>
      </c>
      <c r="M22" s="217">
        <f t="shared" si="4"/>
        <v>0</v>
      </c>
      <c r="N22" s="218"/>
      <c r="O22" s="571"/>
      <c r="P22" s="540"/>
      <c r="Q22" s="219"/>
      <c r="R22" s="218"/>
      <c r="S22" s="220">
        <v>0.22</v>
      </c>
      <c r="T22" s="217">
        <f t="shared" si="5"/>
        <v>0</v>
      </c>
      <c r="U22" s="218"/>
      <c r="V22" s="217">
        <f t="shared" si="6"/>
        <v>0</v>
      </c>
      <c r="W22" s="217">
        <f t="shared" si="7"/>
        <v>0</v>
      </c>
      <c r="X22" s="217">
        <f t="shared" si="8"/>
        <v>0</v>
      </c>
      <c r="Y22" s="217">
        <f t="shared" si="9"/>
        <v>0</v>
      </c>
      <c r="Z22" s="217">
        <f t="shared" si="10"/>
        <v>0</v>
      </c>
      <c r="AB22" s="221">
        <v>5</v>
      </c>
    </row>
    <row r="23" spans="1:28" ht="16.5" hidden="1" customHeight="1">
      <c r="A23" s="562"/>
      <c r="B23" s="222" t="s">
        <v>130</v>
      </c>
      <c r="C23" s="223">
        <v>0</v>
      </c>
      <c r="D23" s="223">
        <v>0</v>
      </c>
      <c r="E23" s="223">
        <v>0</v>
      </c>
      <c r="F23" s="223">
        <v>0</v>
      </c>
      <c r="G23" s="223">
        <v>0</v>
      </c>
      <c r="H23" s="223" t="s">
        <v>122</v>
      </c>
      <c r="I23" s="217">
        <f t="shared" si="0"/>
        <v>0</v>
      </c>
      <c r="J23" s="223">
        <f t="shared" si="1"/>
        <v>0</v>
      </c>
      <c r="K23" s="223">
        <f t="shared" si="2"/>
        <v>0</v>
      </c>
      <c r="L23" s="223">
        <f t="shared" si="3"/>
        <v>0</v>
      </c>
      <c r="M23" s="223">
        <f t="shared" si="4"/>
        <v>0</v>
      </c>
      <c r="N23" s="218"/>
      <c r="O23" s="572"/>
      <c r="P23" s="540"/>
      <c r="Q23" s="224"/>
      <c r="R23" s="218"/>
      <c r="S23" s="225">
        <v>0.22</v>
      </c>
      <c r="T23" s="223">
        <f t="shared" si="5"/>
        <v>0</v>
      </c>
      <c r="U23" s="218"/>
      <c r="V23" s="223">
        <f t="shared" si="6"/>
        <v>0</v>
      </c>
      <c r="W23" s="223">
        <f t="shared" si="7"/>
        <v>0</v>
      </c>
      <c r="X23" s="223">
        <f t="shared" si="8"/>
        <v>0</v>
      </c>
      <c r="Y23" s="223">
        <f t="shared" si="9"/>
        <v>0</v>
      </c>
      <c r="Z23" s="223">
        <f t="shared" si="10"/>
        <v>0</v>
      </c>
      <c r="AB23" s="221">
        <v>5</v>
      </c>
    </row>
    <row r="24" spans="1:28" ht="16.5" hidden="1" customHeight="1">
      <c r="A24" s="560" t="s">
        <v>133</v>
      </c>
      <c r="B24" s="2" t="s">
        <v>134</v>
      </c>
      <c r="C24" s="217">
        <v>0</v>
      </c>
      <c r="D24" s="217">
        <v>0</v>
      </c>
      <c r="E24" s="217">
        <v>0</v>
      </c>
      <c r="F24" s="217">
        <v>0</v>
      </c>
      <c r="G24" s="217">
        <v>0</v>
      </c>
      <c r="H24" s="217" t="s">
        <v>122</v>
      </c>
      <c r="I24" s="217">
        <f t="shared" si="0"/>
        <v>0</v>
      </c>
      <c r="J24" s="217">
        <f t="shared" si="1"/>
        <v>0</v>
      </c>
      <c r="K24" s="217">
        <f t="shared" si="2"/>
        <v>0</v>
      </c>
      <c r="L24" s="217">
        <f t="shared" si="3"/>
        <v>0</v>
      </c>
      <c r="M24" s="217">
        <f t="shared" si="4"/>
        <v>0</v>
      </c>
      <c r="N24" s="218"/>
      <c r="O24" s="567">
        <f>SUM(I24:I26)</f>
        <v>0</v>
      </c>
      <c r="P24" s="540"/>
      <c r="Q24" s="219"/>
      <c r="R24" s="218"/>
      <c r="S24" s="220">
        <v>0.22</v>
      </c>
      <c r="T24" s="217">
        <f t="shared" si="5"/>
        <v>0</v>
      </c>
      <c r="U24" s="218"/>
      <c r="V24" s="217">
        <f t="shared" si="6"/>
        <v>0</v>
      </c>
      <c r="W24" s="217">
        <f t="shared" si="7"/>
        <v>0</v>
      </c>
      <c r="X24" s="217">
        <f t="shared" si="8"/>
        <v>0</v>
      </c>
      <c r="Y24" s="217">
        <f t="shared" si="9"/>
        <v>0</v>
      </c>
      <c r="Z24" s="217">
        <f t="shared" si="10"/>
        <v>0</v>
      </c>
      <c r="AB24" s="226">
        <v>5</v>
      </c>
    </row>
    <row r="25" spans="1:28" ht="16.5" hidden="1" customHeight="1">
      <c r="A25" s="561"/>
      <c r="B25" s="2" t="s">
        <v>130</v>
      </c>
      <c r="C25" s="217">
        <v>0</v>
      </c>
      <c r="D25" s="217">
        <v>0</v>
      </c>
      <c r="E25" s="217">
        <v>0</v>
      </c>
      <c r="F25" s="217">
        <v>0</v>
      </c>
      <c r="G25" s="217">
        <v>0</v>
      </c>
      <c r="H25" s="217" t="s">
        <v>122</v>
      </c>
      <c r="I25" s="217">
        <f t="shared" si="0"/>
        <v>0</v>
      </c>
      <c r="J25" s="217">
        <f t="shared" si="1"/>
        <v>0</v>
      </c>
      <c r="K25" s="217">
        <f t="shared" si="2"/>
        <v>0</v>
      </c>
      <c r="L25" s="217">
        <f t="shared" si="3"/>
        <v>0</v>
      </c>
      <c r="M25" s="217">
        <f t="shared" si="4"/>
        <v>0</v>
      </c>
      <c r="N25" s="218"/>
      <c r="O25" s="571"/>
      <c r="P25" s="540"/>
      <c r="Q25" s="219"/>
      <c r="R25" s="218"/>
      <c r="S25" s="220">
        <v>0.22</v>
      </c>
      <c r="T25" s="217">
        <f t="shared" si="5"/>
        <v>0</v>
      </c>
      <c r="U25" s="218"/>
      <c r="V25" s="217">
        <f t="shared" si="6"/>
        <v>0</v>
      </c>
      <c r="W25" s="217">
        <f t="shared" si="7"/>
        <v>0</v>
      </c>
      <c r="X25" s="217">
        <f t="shared" si="8"/>
        <v>0</v>
      </c>
      <c r="Y25" s="217">
        <f t="shared" si="9"/>
        <v>0</v>
      </c>
      <c r="Z25" s="217">
        <f t="shared" si="10"/>
        <v>0</v>
      </c>
      <c r="AB25" s="221">
        <v>5</v>
      </c>
    </row>
    <row r="26" spans="1:28" ht="16.5" hidden="1" customHeight="1">
      <c r="A26" s="562"/>
      <c r="B26" s="222" t="s">
        <v>130</v>
      </c>
      <c r="C26" s="223">
        <v>0</v>
      </c>
      <c r="D26" s="223">
        <v>0</v>
      </c>
      <c r="E26" s="223">
        <v>0</v>
      </c>
      <c r="F26" s="223">
        <v>0</v>
      </c>
      <c r="G26" s="223">
        <v>0</v>
      </c>
      <c r="H26" s="223" t="s">
        <v>122</v>
      </c>
      <c r="I26" s="217">
        <f t="shared" si="0"/>
        <v>0</v>
      </c>
      <c r="J26" s="223">
        <f t="shared" si="1"/>
        <v>0</v>
      </c>
      <c r="K26" s="223">
        <f t="shared" si="2"/>
        <v>0</v>
      </c>
      <c r="L26" s="223">
        <f t="shared" si="3"/>
        <v>0</v>
      </c>
      <c r="M26" s="223">
        <f t="shared" si="4"/>
        <v>0</v>
      </c>
      <c r="N26" s="218"/>
      <c r="O26" s="572"/>
      <c r="P26" s="540"/>
      <c r="Q26" s="224"/>
      <c r="R26" s="218"/>
      <c r="S26" s="225">
        <v>0.22</v>
      </c>
      <c r="T26" s="223">
        <f t="shared" si="5"/>
        <v>0</v>
      </c>
      <c r="U26" s="218"/>
      <c r="V26" s="223">
        <f t="shared" si="6"/>
        <v>0</v>
      </c>
      <c r="W26" s="223">
        <f t="shared" si="7"/>
        <v>0</v>
      </c>
      <c r="X26" s="223">
        <f t="shared" si="8"/>
        <v>0</v>
      </c>
      <c r="Y26" s="223">
        <f t="shared" si="9"/>
        <v>0</v>
      </c>
      <c r="Z26" s="223">
        <f t="shared" si="10"/>
        <v>0</v>
      </c>
      <c r="AB26" s="221">
        <v>5</v>
      </c>
    </row>
    <row r="27" spans="1:28" ht="16.5" customHeight="1">
      <c r="A27" s="560" t="s">
        <v>135</v>
      </c>
      <c r="B27" s="2" t="s">
        <v>136</v>
      </c>
      <c r="C27" s="217">
        <v>0</v>
      </c>
      <c r="D27" s="217">
        <v>0</v>
      </c>
      <c r="E27" s="217">
        <v>0</v>
      </c>
      <c r="F27" s="217">
        <v>0</v>
      </c>
      <c r="G27" s="217">
        <v>0</v>
      </c>
      <c r="H27" s="217" t="s">
        <v>122</v>
      </c>
      <c r="I27" s="217">
        <f t="shared" si="0"/>
        <v>0</v>
      </c>
      <c r="J27" s="217">
        <f t="shared" si="1"/>
        <v>0</v>
      </c>
      <c r="K27" s="217">
        <f t="shared" si="2"/>
        <v>0</v>
      </c>
      <c r="L27" s="217">
        <f t="shared" si="3"/>
        <v>0</v>
      </c>
      <c r="M27" s="217">
        <f t="shared" si="4"/>
        <v>0</v>
      </c>
      <c r="N27" s="218"/>
      <c r="O27" s="567">
        <f>SUM(I27:I29)</f>
        <v>0</v>
      </c>
      <c r="P27" s="540"/>
      <c r="Q27" s="219" t="s">
        <v>123</v>
      </c>
      <c r="R27" s="218"/>
      <c r="S27" s="220">
        <v>0.22</v>
      </c>
      <c r="T27" s="217">
        <f t="shared" si="5"/>
        <v>0</v>
      </c>
      <c r="U27" s="218"/>
      <c r="V27" s="217">
        <f t="shared" si="6"/>
        <v>0</v>
      </c>
      <c r="W27" s="217">
        <f t="shared" si="7"/>
        <v>0</v>
      </c>
      <c r="X27" s="217">
        <f t="shared" si="8"/>
        <v>0</v>
      </c>
      <c r="Y27" s="217">
        <f t="shared" si="9"/>
        <v>0</v>
      </c>
      <c r="Z27" s="217">
        <f t="shared" si="10"/>
        <v>0</v>
      </c>
      <c r="AB27" s="226">
        <v>5</v>
      </c>
    </row>
    <row r="28" spans="1:28" ht="16.5" customHeight="1">
      <c r="A28" s="561"/>
      <c r="B28" s="2" t="s">
        <v>137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 t="s">
        <v>122</v>
      </c>
      <c r="I28" s="217">
        <f t="shared" si="0"/>
        <v>0</v>
      </c>
      <c r="J28" s="217">
        <f t="shared" si="1"/>
        <v>0</v>
      </c>
      <c r="K28" s="217">
        <f t="shared" si="2"/>
        <v>0</v>
      </c>
      <c r="L28" s="217">
        <f t="shared" si="3"/>
        <v>0</v>
      </c>
      <c r="M28" s="217">
        <f t="shared" si="4"/>
        <v>0</v>
      </c>
      <c r="N28" s="218"/>
      <c r="O28" s="571"/>
      <c r="P28" s="540"/>
      <c r="Q28" s="219" t="s">
        <v>123</v>
      </c>
      <c r="R28" s="218"/>
      <c r="S28" s="220">
        <v>0.22</v>
      </c>
      <c r="T28" s="217">
        <f t="shared" si="5"/>
        <v>0</v>
      </c>
      <c r="U28" s="218"/>
      <c r="V28" s="217">
        <f t="shared" si="6"/>
        <v>0</v>
      </c>
      <c r="W28" s="217">
        <f t="shared" si="7"/>
        <v>0</v>
      </c>
      <c r="X28" s="217">
        <f t="shared" si="8"/>
        <v>0</v>
      </c>
      <c r="Y28" s="217">
        <f t="shared" si="9"/>
        <v>0</v>
      </c>
      <c r="Z28" s="217">
        <f t="shared" si="10"/>
        <v>0</v>
      </c>
      <c r="AB28" s="221">
        <v>5</v>
      </c>
    </row>
    <row r="29" spans="1:28" ht="16.5" customHeight="1">
      <c r="A29" s="562"/>
      <c r="B29" s="222" t="s">
        <v>138</v>
      </c>
      <c r="C29" s="223">
        <v>0</v>
      </c>
      <c r="D29" s="223">
        <v>0</v>
      </c>
      <c r="E29" s="223">
        <v>0</v>
      </c>
      <c r="F29" s="223">
        <v>0</v>
      </c>
      <c r="G29" s="223">
        <v>0</v>
      </c>
      <c r="H29" s="223" t="s">
        <v>122</v>
      </c>
      <c r="I29" s="217">
        <f t="shared" si="0"/>
        <v>0</v>
      </c>
      <c r="J29" s="223">
        <f t="shared" si="1"/>
        <v>0</v>
      </c>
      <c r="K29" s="223">
        <f t="shared" si="2"/>
        <v>0</v>
      </c>
      <c r="L29" s="223">
        <f t="shared" si="3"/>
        <v>0</v>
      </c>
      <c r="M29" s="223">
        <f t="shared" si="4"/>
        <v>0</v>
      </c>
      <c r="N29" s="218"/>
      <c r="O29" s="572"/>
      <c r="P29" s="540"/>
      <c r="Q29" s="224" t="s">
        <v>123</v>
      </c>
      <c r="R29" s="218"/>
      <c r="S29" s="225">
        <v>0.22</v>
      </c>
      <c r="T29" s="223">
        <f t="shared" si="5"/>
        <v>0</v>
      </c>
      <c r="U29" s="218"/>
      <c r="V29" s="223">
        <f t="shared" si="6"/>
        <v>0</v>
      </c>
      <c r="W29" s="223">
        <f t="shared" si="7"/>
        <v>0</v>
      </c>
      <c r="X29" s="223">
        <f t="shared" si="8"/>
        <v>0</v>
      </c>
      <c r="Y29" s="223">
        <f t="shared" si="9"/>
        <v>0</v>
      </c>
      <c r="Z29" s="223">
        <f t="shared" si="10"/>
        <v>0</v>
      </c>
      <c r="AB29" s="227">
        <v>5</v>
      </c>
    </row>
    <row r="30" spans="1:28" ht="16.5" hidden="1" customHeight="1">
      <c r="A30" s="560" t="s">
        <v>139</v>
      </c>
      <c r="B30" s="2" t="s">
        <v>130</v>
      </c>
      <c r="C30" s="217">
        <v>0</v>
      </c>
      <c r="D30" s="217">
        <v>0</v>
      </c>
      <c r="E30" s="217">
        <v>0</v>
      </c>
      <c r="F30" s="217">
        <v>0</v>
      </c>
      <c r="G30" s="217">
        <v>0</v>
      </c>
      <c r="H30" s="217" t="s">
        <v>122</v>
      </c>
      <c r="I30" s="217">
        <f t="shared" si="0"/>
        <v>0</v>
      </c>
      <c r="J30" s="217">
        <f t="shared" si="1"/>
        <v>0</v>
      </c>
      <c r="K30" s="217">
        <f t="shared" si="2"/>
        <v>0</v>
      </c>
      <c r="L30" s="217">
        <f t="shared" si="3"/>
        <v>0</v>
      </c>
      <c r="M30" s="217">
        <f t="shared" si="4"/>
        <v>0</v>
      </c>
      <c r="N30" s="218"/>
      <c r="O30" s="567">
        <f>SUM(I30:I32)</f>
        <v>0</v>
      </c>
      <c r="P30" s="540"/>
      <c r="Q30" s="219"/>
      <c r="R30" s="218"/>
      <c r="S30" s="220">
        <v>0.22</v>
      </c>
      <c r="T30" s="217">
        <f t="shared" si="5"/>
        <v>0</v>
      </c>
      <c r="U30" s="218"/>
      <c r="V30" s="217">
        <f t="shared" si="6"/>
        <v>0</v>
      </c>
      <c r="W30" s="217">
        <f t="shared" si="7"/>
        <v>0</v>
      </c>
      <c r="X30" s="217">
        <f t="shared" si="8"/>
        <v>0</v>
      </c>
      <c r="Y30" s="217">
        <f t="shared" si="9"/>
        <v>0</v>
      </c>
      <c r="Z30" s="217">
        <f t="shared" si="10"/>
        <v>0</v>
      </c>
      <c r="AB30" s="221">
        <v>5</v>
      </c>
    </row>
    <row r="31" spans="1:28" ht="16.5" hidden="1" customHeight="1">
      <c r="A31" s="561"/>
      <c r="B31" s="2" t="s">
        <v>130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 t="s">
        <v>122</v>
      </c>
      <c r="I31" s="217">
        <f t="shared" si="0"/>
        <v>0</v>
      </c>
      <c r="J31" s="217">
        <f t="shared" si="1"/>
        <v>0</v>
      </c>
      <c r="K31" s="217">
        <f t="shared" si="2"/>
        <v>0</v>
      </c>
      <c r="L31" s="217">
        <f t="shared" si="3"/>
        <v>0</v>
      </c>
      <c r="M31" s="217">
        <f t="shared" si="4"/>
        <v>0</v>
      </c>
      <c r="N31" s="218"/>
      <c r="O31" s="571"/>
      <c r="P31" s="540"/>
      <c r="Q31" s="219"/>
      <c r="R31" s="218"/>
      <c r="S31" s="220">
        <v>0.22</v>
      </c>
      <c r="T31" s="217">
        <f t="shared" si="5"/>
        <v>0</v>
      </c>
      <c r="U31" s="218"/>
      <c r="V31" s="217">
        <f t="shared" si="6"/>
        <v>0</v>
      </c>
      <c r="W31" s="217">
        <f t="shared" si="7"/>
        <v>0</v>
      </c>
      <c r="X31" s="217">
        <f t="shared" si="8"/>
        <v>0</v>
      </c>
      <c r="Y31" s="217">
        <f t="shared" si="9"/>
        <v>0</v>
      </c>
      <c r="Z31" s="217">
        <f t="shared" si="10"/>
        <v>0</v>
      </c>
      <c r="AB31" s="221">
        <v>5</v>
      </c>
    </row>
    <row r="32" spans="1:28" ht="16.5" hidden="1" customHeight="1">
      <c r="A32" s="562"/>
      <c r="B32" s="222" t="s">
        <v>130</v>
      </c>
      <c r="C32" s="223">
        <v>0</v>
      </c>
      <c r="D32" s="223">
        <v>0</v>
      </c>
      <c r="E32" s="223">
        <v>0</v>
      </c>
      <c r="F32" s="223">
        <v>0</v>
      </c>
      <c r="G32" s="223">
        <v>0</v>
      </c>
      <c r="H32" s="223" t="s">
        <v>122</v>
      </c>
      <c r="I32" s="217">
        <f t="shared" si="0"/>
        <v>0</v>
      </c>
      <c r="J32" s="223">
        <f t="shared" si="1"/>
        <v>0</v>
      </c>
      <c r="K32" s="223">
        <f t="shared" si="2"/>
        <v>0</v>
      </c>
      <c r="L32" s="223">
        <f t="shared" si="3"/>
        <v>0</v>
      </c>
      <c r="M32" s="223">
        <f t="shared" si="4"/>
        <v>0</v>
      </c>
      <c r="N32" s="218"/>
      <c r="O32" s="572"/>
      <c r="P32" s="540"/>
      <c r="Q32" s="224"/>
      <c r="R32" s="218"/>
      <c r="S32" s="225">
        <v>0.22</v>
      </c>
      <c r="T32" s="223">
        <f t="shared" si="5"/>
        <v>0</v>
      </c>
      <c r="U32" s="218"/>
      <c r="V32" s="223">
        <f t="shared" si="6"/>
        <v>0</v>
      </c>
      <c r="W32" s="223">
        <f t="shared" si="7"/>
        <v>0</v>
      </c>
      <c r="X32" s="223">
        <f t="shared" si="8"/>
        <v>0</v>
      </c>
      <c r="Y32" s="223">
        <f t="shared" si="9"/>
        <v>0</v>
      </c>
      <c r="Z32" s="223">
        <f t="shared" si="10"/>
        <v>0</v>
      </c>
      <c r="AB32" s="227">
        <v>17</v>
      </c>
    </row>
    <row r="33" spans="1:28" ht="16.5" hidden="1" customHeight="1">
      <c r="A33" s="228" t="s">
        <v>140</v>
      </c>
      <c r="B33" s="229" t="s">
        <v>141</v>
      </c>
      <c r="C33" s="230">
        <v>0</v>
      </c>
      <c r="D33" s="230">
        <v>0</v>
      </c>
      <c r="E33" s="230">
        <v>0</v>
      </c>
      <c r="F33" s="230">
        <v>0</v>
      </c>
      <c r="G33" s="230">
        <v>0</v>
      </c>
      <c r="H33" s="230" t="s">
        <v>122</v>
      </c>
      <c r="I33" s="217">
        <f t="shared" si="0"/>
        <v>0</v>
      </c>
      <c r="J33" s="230">
        <f t="shared" si="1"/>
        <v>0</v>
      </c>
      <c r="K33" s="230">
        <f t="shared" si="2"/>
        <v>0</v>
      </c>
      <c r="L33" s="230">
        <f t="shared" si="3"/>
        <v>0</v>
      </c>
      <c r="M33" s="230">
        <f t="shared" si="4"/>
        <v>0</v>
      </c>
      <c r="N33" s="218"/>
      <c r="O33" s="539">
        <f>I33</f>
        <v>0</v>
      </c>
      <c r="P33" s="540"/>
      <c r="Q33" s="231"/>
      <c r="R33" s="218"/>
      <c r="S33" s="232">
        <v>0.22</v>
      </c>
      <c r="T33" s="230">
        <f t="shared" si="5"/>
        <v>0</v>
      </c>
      <c r="U33" s="218"/>
      <c r="V33" s="223">
        <f t="shared" si="6"/>
        <v>0</v>
      </c>
      <c r="W33" s="223">
        <f t="shared" si="7"/>
        <v>0</v>
      </c>
      <c r="X33" s="223">
        <f t="shared" si="8"/>
        <v>0</v>
      </c>
      <c r="Y33" s="223">
        <f t="shared" si="9"/>
        <v>0</v>
      </c>
      <c r="Z33" s="223">
        <f t="shared" si="10"/>
        <v>0</v>
      </c>
      <c r="AB33" s="221">
        <v>10</v>
      </c>
    </row>
    <row r="34" spans="1:28" ht="16.5" hidden="1" customHeight="1">
      <c r="A34" s="228" t="s">
        <v>142</v>
      </c>
      <c r="B34" s="229" t="s">
        <v>142</v>
      </c>
      <c r="C34" s="230">
        <v>0</v>
      </c>
      <c r="D34" s="230">
        <v>0</v>
      </c>
      <c r="E34" s="230">
        <v>0</v>
      </c>
      <c r="F34" s="230">
        <v>0</v>
      </c>
      <c r="G34" s="230">
        <v>0</v>
      </c>
      <c r="H34" s="230" t="s">
        <v>122</v>
      </c>
      <c r="I34" s="217">
        <f t="shared" si="0"/>
        <v>0</v>
      </c>
      <c r="J34" s="230">
        <f t="shared" si="1"/>
        <v>0</v>
      </c>
      <c r="K34" s="230">
        <f t="shared" si="2"/>
        <v>0</v>
      </c>
      <c r="L34" s="230">
        <f t="shared" si="3"/>
        <v>0</v>
      </c>
      <c r="M34" s="230">
        <f t="shared" si="4"/>
        <v>0</v>
      </c>
      <c r="N34" s="218"/>
      <c r="O34" s="233">
        <f>I34</f>
        <v>0</v>
      </c>
      <c r="P34" s="540"/>
      <c r="Q34" s="231"/>
      <c r="R34" s="218"/>
      <c r="S34" s="232">
        <v>0.22</v>
      </c>
      <c r="T34" s="230">
        <f t="shared" si="5"/>
        <v>0</v>
      </c>
      <c r="U34" s="218"/>
      <c r="V34" s="223">
        <f t="shared" si="6"/>
        <v>0</v>
      </c>
      <c r="W34" s="223">
        <f t="shared" si="7"/>
        <v>0</v>
      </c>
      <c r="X34" s="223">
        <f t="shared" si="8"/>
        <v>0</v>
      </c>
      <c r="Y34" s="223">
        <f t="shared" si="9"/>
        <v>0</v>
      </c>
      <c r="Z34" s="223">
        <f t="shared" si="10"/>
        <v>0</v>
      </c>
      <c r="AB34" s="226">
        <v>5</v>
      </c>
    </row>
    <row r="35" spans="1:28" ht="16.5" hidden="1" customHeight="1">
      <c r="A35" s="560" t="s">
        <v>143</v>
      </c>
      <c r="B35" s="2" t="s">
        <v>130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 t="s">
        <v>122</v>
      </c>
      <c r="I35" s="217">
        <f t="shared" si="0"/>
        <v>0</v>
      </c>
      <c r="J35" s="217">
        <f t="shared" si="1"/>
        <v>0</v>
      </c>
      <c r="K35" s="217">
        <f t="shared" si="2"/>
        <v>0</v>
      </c>
      <c r="L35" s="217">
        <f t="shared" si="3"/>
        <v>0</v>
      </c>
      <c r="M35" s="217">
        <f t="shared" si="4"/>
        <v>0</v>
      </c>
      <c r="N35" s="218"/>
      <c r="O35" s="567">
        <f>SUM(I35:I36)</f>
        <v>0</v>
      </c>
      <c r="P35" s="540"/>
      <c r="Q35" s="219"/>
      <c r="R35" s="218"/>
      <c r="S35" s="220">
        <v>0.22</v>
      </c>
      <c r="T35" s="217">
        <f t="shared" si="5"/>
        <v>0</v>
      </c>
      <c r="U35" s="218"/>
      <c r="V35" s="217">
        <f t="shared" si="6"/>
        <v>0</v>
      </c>
      <c r="W35" s="217">
        <f t="shared" si="7"/>
        <v>0</v>
      </c>
      <c r="X35" s="217">
        <f t="shared" si="8"/>
        <v>0</v>
      </c>
      <c r="Y35" s="217">
        <f t="shared" si="9"/>
        <v>0</v>
      </c>
      <c r="Z35" s="217">
        <f t="shared" si="10"/>
        <v>0</v>
      </c>
      <c r="AB35" s="226">
        <v>5</v>
      </c>
    </row>
    <row r="36" spans="1:28" ht="16.5" hidden="1" customHeight="1">
      <c r="A36" s="569"/>
      <c r="B36" s="2" t="s">
        <v>130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 t="s">
        <v>122</v>
      </c>
      <c r="I36" s="217">
        <f t="shared" si="0"/>
        <v>0</v>
      </c>
      <c r="J36" s="217">
        <f t="shared" si="1"/>
        <v>0</v>
      </c>
      <c r="K36" s="217">
        <f t="shared" si="2"/>
        <v>0</v>
      </c>
      <c r="L36" s="217">
        <f t="shared" si="3"/>
        <v>0</v>
      </c>
      <c r="M36" s="217">
        <f t="shared" si="4"/>
        <v>0</v>
      </c>
      <c r="N36" s="218"/>
      <c r="O36" s="568"/>
      <c r="P36" s="540"/>
      <c r="Q36" s="219"/>
      <c r="R36" s="218"/>
      <c r="S36" s="220">
        <v>0.22</v>
      </c>
      <c r="T36" s="217">
        <f t="shared" si="5"/>
        <v>0</v>
      </c>
      <c r="U36" s="218"/>
      <c r="V36" s="217">
        <f t="shared" si="6"/>
        <v>0</v>
      </c>
      <c r="W36" s="217">
        <f t="shared" si="7"/>
        <v>0</v>
      </c>
      <c r="X36" s="217">
        <f t="shared" si="8"/>
        <v>0</v>
      </c>
      <c r="Y36" s="217">
        <f t="shared" si="9"/>
        <v>0</v>
      </c>
      <c r="Z36" s="217">
        <f t="shared" si="10"/>
        <v>0</v>
      </c>
      <c r="AB36" s="221">
        <v>5</v>
      </c>
    </row>
    <row r="37" spans="1:28" ht="16.5" customHeight="1" thickBot="1">
      <c r="A37" s="563" t="str">
        <f>"Total "&amp;A7</f>
        <v>Total Intangible assets</v>
      </c>
      <c r="B37" s="563"/>
      <c r="C37" s="234">
        <f>SUM(C8:C36)</f>
        <v>250498.8</v>
      </c>
      <c r="D37" s="234">
        <f>SUM(D8:D36)</f>
        <v>0</v>
      </c>
      <c r="E37" s="234">
        <f>SUM(E8:E36)</f>
        <v>0</v>
      </c>
      <c r="F37" s="234">
        <f>SUM(F8:F36)</f>
        <v>0</v>
      </c>
      <c r="G37" s="234">
        <f>SUM(G8:G36)</f>
        <v>0</v>
      </c>
      <c r="H37" s="234" t="s">
        <v>26</v>
      </c>
      <c r="I37" s="234">
        <f>SUM(I8:I36)</f>
        <v>35785.542857142857</v>
      </c>
      <c r="J37" s="234">
        <f>SUM(J8:J36)</f>
        <v>35785.542857142857</v>
      </c>
      <c r="K37" s="234">
        <f>SUM(K8:K36)</f>
        <v>35785.542857142857</v>
      </c>
      <c r="L37" s="234">
        <f>SUM(L8:L36)</f>
        <v>35785.542857142857</v>
      </c>
      <c r="M37" s="234">
        <f>SUM(M8:M36)</f>
        <v>35785.542857142857</v>
      </c>
      <c r="N37" s="235"/>
      <c r="O37" s="236">
        <f>SUM(O8:O36)</f>
        <v>35785.542857142857</v>
      </c>
      <c r="P37" s="540"/>
      <c r="Q37" s="236" t="s">
        <v>26</v>
      </c>
      <c r="R37" s="235"/>
      <c r="S37" s="215" t="s">
        <v>26</v>
      </c>
      <c r="T37" s="234">
        <f>SUM(T8:T36)</f>
        <v>55109.735999999997</v>
      </c>
      <c r="U37" s="235"/>
      <c r="V37" s="234">
        <f>SUM(V8:V36)</f>
        <v>214713.25714285712</v>
      </c>
      <c r="W37" s="234">
        <f>SUM(W8:W36)</f>
        <v>178927.71428571426</v>
      </c>
      <c r="X37" s="234">
        <f>SUM(X8:X36)</f>
        <v>143142.1714285714</v>
      </c>
      <c r="Y37" s="234">
        <f>SUM(Y8:Y36)</f>
        <v>107356.62857142853</v>
      </c>
      <c r="Z37" s="234">
        <f>SUM(Z8:Z36)</f>
        <v>71571.085714285669</v>
      </c>
      <c r="AB37" s="237">
        <f>AVERAGE(AB8:AB36)</f>
        <v>6.0344827586206895</v>
      </c>
    </row>
    <row r="38" spans="1:28" ht="16.5" customHeight="1" thickTop="1">
      <c r="A38" s="548"/>
      <c r="B38" s="548"/>
      <c r="C38" s="540"/>
      <c r="D38" s="540"/>
      <c r="E38" s="540"/>
      <c r="F38" s="540"/>
      <c r="G38" s="540"/>
      <c r="H38" s="540"/>
      <c r="I38" s="540"/>
      <c r="J38" s="540"/>
      <c r="K38" s="540"/>
      <c r="L38" s="540"/>
      <c r="M38" s="540"/>
      <c r="N38" s="235"/>
      <c r="O38" s="540"/>
      <c r="P38" s="540"/>
      <c r="Q38" s="540"/>
      <c r="R38" s="235"/>
      <c r="S38" s="238"/>
      <c r="T38" s="540"/>
      <c r="U38" s="235"/>
      <c r="V38" s="540"/>
      <c r="W38" s="540"/>
      <c r="X38" s="540"/>
      <c r="Y38" s="540"/>
      <c r="Z38" s="540"/>
      <c r="AB38" s="239"/>
    </row>
    <row r="39" spans="1:28" ht="16.5" hidden="1" customHeight="1" thickBot="1">
      <c r="A39" s="563" t="s">
        <v>144</v>
      </c>
      <c r="B39" s="563"/>
      <c r="C39" s="563"/>
      <c r="D39" s="563"/>
      <c r="E39" s="563"/>
      <c r="F39" s="563"/>
      <c r="G39" s="563"/>
      <c r="H39" s="240"/>
      <c r="I39" s="563" t="s">
        <v>145</v>
      </c>
      <c r="J39" s="563"/>
      <c r="K39" s="563"/>
      <c r="L39" s="563"/>
      <c r="M39" s="563"/>
      <c r="N39" s="212"/>
      <c r="O39" s="213">
        <f>O7</f>
        <v>2025</v>
      </c>
      <c r="P39" s="214"/>
      <c r="Q39" s="213" t="str">
        <f>Q7</f>
        <v>CdC</v>
      </c>
      <c r="R39" s="212"/>
      <c r="S39" s="215" t="str">
        <f>S7</f>
        <v>VAT</v>
      </c>
      <c r="T39" s="213" t="str">
        <f>T7</f>
        <v>VAT €</v>
      </c>
      <c r="U39" s="212"/>
      <c r="V39" s="563" t="s">
        <v>146</v>
      </c>
      <c r="W39" s="563"/>
      <c r="X39" s="563"/>
      <c r="Y39" s="563"/>
      <c r="Z39" s="563"/>
      <c r="AB39" s="216"/>
    </row>
    <row r="40" spans="1:28" ht="16.5" hidden="1" customHeight="1" thickTop="1">
      <c r="A40" s="561" t="s">
        <v>147</v>
      </c>
      <c r="B40" s="2" t="s">
        <v>148</v>
      </c>
      <c r="C40" s="219">
        <f>IFERROR(VLOOKUP(B40,#REF!,8,FALSE),0)</f>
        <v>0</v>
      </c>
      <c r="D40" s="219">
        <v>0</v>
      </c>
      <c r="E40" s="219">
        <v>0</v>
      </c>
      <c r="F40" s="219">
        <v>0</v>
      </c>
      <c r="G40" s="219">
        <v>0</v>
      </c>
      <c r="H40" s="219" t="s">
        <v>122</v>
      </c>
      <c r="I40" s="219">
        <f t="shared" ref="I40:I76" si="11">IF(H40="A",C40/AB40,0)</f>
        <v>0</v>
      </c>
      <c r="J40" s="219">
        <f t="shared" ref="J40:J45" si="12">I40+D40/AB40</f>
        <v>0</v>
      </c>
      <c r="K40" s="219">
        <f>J40+E40/AB40</f>
        <v>0</v>
      </c>
      <c r="L40" s="219">
        <f>K40+F40/AB40</f>
        <v>0</v>
      </c>
      <c r="M40" s="219">
        <f>L40+G40/AB40</f>
        <v>0</v>
      </c>
      <c r="N40" s="218"/>
      <c r="O40" s="570">
        <f>SUM(I40:I45)</f>
        <v>0</v>
      </c>
      <c r="P40" s="540"/>
      <c r="Q40" s="219"/>
      <c r="R40" s="218"/>
      <c r="S40" s="220">
        <v>0.22</v>
      </c>
      <c r="T40" s="219">
        <f>S40*C40</f>
        <v>0</v>
      </c>
      <c r="U40" s="218"/>
      <c r="V40" s="219">
        <f>C40-I40</f>
        <v>0</v>
      </c>
      <c r="W40" s="219">
        <f>(C40-C40/AB40-C40/AB40)+(D40-D40/AB40)</f>
        <v>0</v>
      </c>
      <c r="X40" s="219">
        <f>(C40-C40/AB40-C40/AB40-C40/AB40)+(D40-D40/AB40-D40/AB40)+(E40-E40/AB40)</f>
        <v>0</v>
      </c>
      <c r="Y40" s="219">
        <f>(C40-C40/AB40-C40/AB40-C40/AB40-C40/AB40)+(D40-D40/AB40-D40/AB40-D40/AB40)+(E40-E40/AB40-E40/AB40)+(F40-F40/AB40)</f>
        <v>0</v>
      </c>
      <c r="Z40" s="219">
        <f>(C40-C40/AB40-C40/AB40-C40/AB40-C40/AB40-C40/AB40)+(D40-D40/AB40-D40/AB40-D40/AB40-D40/AB40)+(E40-E40/AB40-E40/AB40-E40/AB40)+(F40-F40/AB40-F40/AB40)+(G40-G40/AB40)</f>
        <v>0</v>
      </c>
      <c r="AB40" s="221">
        <v>30</v>
      </c>
    </row>
    <row r="41" spans="1:28" ht="16.5" hidden="1" customHeight="1">
      <c r="A41" s="561"/>
      <c r="B41" s="2" t="s">
        <v>149</v>
      </c>
      <c r="C41" s="219">
        <v>0</v>
      </c>
      <c r="D41" s="219">
        <v>0</v>
      </c>
      <c r="E41" s="219">
        <v>0</v>
      </c>
      <c r="F41" s="219">
        <v>0</v>
      </c>
      <c r="G41" s="219">
        <v>0</v>
      </c>
      <c r="H41" s="219" t="s">
        <v>122</v>
      </c>
      <c r="I41" s="219">
        <f t="shared" si="11"/>
        <v>0</v>
      </c>
      <c r="J41" s="219">
        <f t="shared" si="12"/>
        <v>0</v>
      </c>
      <c r="K41" s="219">
        <f t="shared" ref="K41:K76" si="13">J41+E41/AB41</f>
        <v>0</v>
      </c>
      <c r="L41" s="219">
        <f t="shared" ref="L41:L76" si="14">K41+F41/AB41</f>
        <v>0</v>
      </c>
      <c r="M41" s="219">
        <f t="shared" ref="M41:M76" si="15">L41+G41/AB41</f>
        <v>0</v>
      </c>
      <c r="N41" s="218"/>
      <c r="O41" s="571"/>
      <c r="P41" s="540"/>
      <c r="Q41" s="219"/>
      <c r="R41" s="218"/>
      <c r="S41" s="220">
        <v>0</v>
      </c>
      <c r="T41" s="219">
        <f t="shared" ref="T41:T76" si="16">S41*C41</f>
        <v>0</v>
      </c>
      <c r="U41" s="218"/>
      <c r="V41" s="219">
        <f t="shared" ref="V41:V76" si="17">C41-I41</f>
        <v>0</v>
      </c>
      <c r="W41" s="219">
        <f t="shared" ref="W41:W76" si="18">(C41-C41/AB41-C41/AB41)+(D41-D41/AB41)</f>
        <v>0</v>
      </c>
      <c r="X41" s="219">
        <f t="shared" ref="X41:X76" si="19">(C41-C41/AB41-C41/AB41-C41/AB41)+(D41-D41/AB41-D41/AB41)+(E41-E41/AB41)</f>
        <v>0</v>
      </c>
      <c r="Y41" s="219">
        <f t="shared" ref="Y41:Y76" si="20">(C41-C41/AB41-C41/AB41-C41/AB41-C41/AB41)+(D41-D41/AB41-D41/AB41-D41/AB41)+(E41-E41/AB41-E41/AB41)+(F41-F41/AB41)</f>
        <v>0</v>
      </c>
      <c r="Z41" s="219">
        <f t="shared" ref="Z41:Z76" si="21">(C41-C41/AB41-C41/AB41-C41/AB41-C41/AB41-C41/AB41)+(D41-D41/AB41-D41/AB41-D41/AB41-D41/AB41)+(E41-E41/AB41-E41/AB41-E41/AB41)+(F41-F41/AB41-F41/AB41)+(G41-G41/AB41)</f>
        <v>0</v>
      </c>
      <c r="AB41" s="221">
        <v>25</v>
      </c>
    </row>
    <row r="42" spans="1:28" ht="16.5" hidden="1" customHeight="1">
      <c r="A42" s="561"/>
      <c r="B42" s="2" t="s">
        <v>130</v>
      </c>
      <c r="C42" s="219">
        <v>0</v>
      </c>
      <c r="D42" s="219">
        <v>0</v>
      </c>
      <c r="E42" s="219">
        <v>0</v>
      </c>
      <c r="F42" s="219">
        <v>0</v>
      </c>
      <c r="G42" s="219">
        <v>0</v>
      </c>
      <c r="H42" s="219" t="s">
        <v>122</v>
      </c>
      <c r="I42" s="219">
        <f t="shared" si="11"/>
        <v>0</v>
      </c>
      <c r="J42" s="219">
        <f t="shared" si="12"/>
        <v>0</v>
      </c>
      <c r="K42" s="219">
        <f t="shared" si="13"/>
        <v>0</v>
      </c>
      <c r="L42" s="219">
        <f t="shared" si="14"/>
        <v>0</v>
      </c>
      <c r="M42" s="219">
        <f t="shared" si="15"/>
        <v>0</v>
      </c>
      <c r="N42" s="218"/>
      <c r="O42" s="571"/>
      <c r="P42" s="540"/>
      <c r="Q42" s="219"/>
      <c r="R42" s="218"/>
      <c r="S42" s="220">
        <v>0.22</v>
      </c>
      <c r="T42" s="219">
        <f t="shared" si="16"/>
        <v>0</v>
      </c>
      <c r="U42" s="218"/>
      <c r="V42" s="219">
        <f t="shared" si="17"/>
        <v>0</v>
      </c>
      <c r="W42" s="219">
        <f t="shared" si="18"/>
        <v>0</v>
      </c>
      <c r="X42" s="219">
        <f t="shared" si="19"/>
        <v>0</v>
      </c>
      <c r="Y42" s="219">
        <f t="shared" si="20"/>
        <v>0</v>
      </c>
      <c r="Z42" s="219">
        <f t="shared" si="21"/>
        <v>0</v>
      </c>
      <c r="AB42" s="221">
        <v>5</v>
      </c>
    </row>
    <row r="43" spans="1:28" ht="16.5" hidden="1" customHeight="1">
      <c r="A43" s="561"/>
      <c r="B43" s="2" t="s">
        <v>130</v>
      </c>
      <c r="C43" s="219">
        <v>0</v>
      </c>
      <c r="D43" s="219">
        <v>0</v>
      </c>
      <c r="E43" s="219">
        <v>0</v>
      </c>
      <c r="F43" s="219">
        <v>0</v>
      </c>
      <c r="G43" s="219">
        <v>0</v>
      </c>
      <c r="H43" s="219" t="s">
        <v>122</v>
      </c>
      <c r="I43" s="219">
        <f t="shared" si="11"/>
        <v>0</v>
      </c>
      <c r="J43" s="219">
        <f t="shared" si="12"/>
        <v>0</v>
      </c>
      <c r="K43" s="219">
        <f t="shared" si="13"/>
        <v>0</v>
      </c>
      <c r="L43" s="219">
        <f t="shared" si="14"/>
        <v>0</v>
      </c>
      <c r="M43" s="219">
        <f t="shared" si="15"/>
        <v>0</v>
      </c>
      <c r="N43" s="218"/>
      <c r="O43" s="571"/>
      <c r="P43" s="540"/>
      <c r="Q43" s="219"/>
      <c r="R43" s="218"/>
      <c r="S43" s="220">
        <v>0.22</v>
      </c>
      <c r="T43" s="219">
        <f t="shared" si="16"/>
        <v>0</v>
      </c>
      <c r="U43" s="218"/>
      <c r="V43" s="219">
        <f t="shared" si="17"/>
        <v>0</v>
      </c>
      <c r="W43" s="219">
        <f t="shared" si="18"/>
        <v>0</v>
      </c>
      <c r="X43" s="219">
        <f t="shared" si="19"/>
        <v>0</v>
      </c>
      <c r="Y43" s="219">
        <f t="shared" si="20"/>
        <v>0</v>
      </c>
      <c r="Z43" s="219">
        <f t="shared" si="21"/>
        <v>0</v>
      </c>
      <c r="AB43" s="221">
        <v>5</v>
      </c>
    </row>
    <row r="44" spans="1:28" ht="16.5" hidden="1" customHeight="1">
      <c r="A44" s="561"/>
      <c r="B44" s="2" t="s">
        <v>130</v>
      </c>
      <c r="C44" s="219">
        <v>0</v>
      </c>
      <c r="D44" s="219">
        <v>0</v>
      </c>
      <c r="E44" s="219">
        <v>0</v>
      </c>
      <c r="F44" s="219">
        <v>0</v>
      </c>
      <c r="G44" s="219">
        <v>0</v>
      </c>
      <c r="H44" s="219" t="s">
        <v>122</v>
      </c>
      <c r="I44" s="219">
        <f t="shared" si="11"/>
        <v>0</v>
      </c>
      <c r="J44" s="219">
        <f t="shared" si="12"/>
        <v>0</v>
      </c>
      <c r="K44" s="219">
        <f t="shared" si="13"/>
        <v>0</v>
      </c>
      <c r="L44" s="219">
        <f t="shared" si="14"/>
        <v>0</v>
      </c>
      <c r="M44" s="219">
        <f t="shared" si="15"/>
        <v>0</v>
      </c>
      <c r="N44" s="218"/>
      <c r="O44" s="571"/>
      <c r="P44" s="540"/>
      <c r="Q44" s="219"/>
      <c r="R44" s="218"/>
      <c r="S44" s="220">
        <v>0.22</v>
      </c>
      <c r="T44" s="219">
        <f t="shared" si="16"/>
        <v>0</v>
      </c>
      <c r="U44" s="218"/>
      <c r="V44" s="219">
        <f t="shared" si="17"/>
        <v>0</v>
      </c>
      <c r="W44" s="219">
        <f t="shared" si="18"/>
        <v>0</v>
      </c>
      <c r="X44" s="219">
        <f t="shared" si="19"/>
        <v>0</v>
      </c>
      <c r="Y44" s="219">
        <f t="shared" si="20"/>
        <v>0</v>
      </c>
      <c r="Z44" s="219">
        <f t="shared" si="21"/>
        <v>0</v>
      </c>
      <c r="AB44" s="221">
        <v>5</v>
      </c>
    </row>
    <row r="45" spans="1:28" ht="16.5" hidden="1" customHeight="1">
      <c r="A45" s="562"/>
      <c r="B45" s="222" t="s">
        <v>130</v>
      </c>
      <c r="C45" s="224">
        <v>0</v>
      </c>
      <c r="D45" s="224">
        <v>0</v>
      </c>
      <c r="E45" s="224">
        <v>0</v>
      </c>
      <c r="F45" s="224">
        <v>0</v>
      </c>
      <c r="G45" s="224">
        <v>0</v>
      </c>
      <c r="H45" s="224" t="s">
        <v>122</v>
      </c>
      <c r="I45" s="219">
        <f t="shared" si="11"/>
        <v>0</v>
      </c>
      <c r="J45" s="224">
        <f t="shared" si="12"/>
        <v>0</v>
      </c>
      <c r="K45" s="224">
        <f t="shared" si="13"/>
        <v>0</v>
      </c>
      <c r="L45" s="224">
        <f t="shared" si="14"/>
        <v>0</v>
      </c>
      <c r="M45" s="224">
        <f t="shared" si="15"/>
        <v>0</v>
      </c>
      <c r="N45" s="218"/>
      <c r="O45" s="572"/>
      <c r="P45" s="540"/>
      <c r="Q45" s="224"/>
      <c r="R45" s="218"/>
      <c r="S45" s="225">
        <v>0.22</v>
      </c>
      <c r="T45" s="224">
        <f t="shared" si="16"/>
        <v>0</v>
      </c>
      <c r="U45" s="218"/>
      <c r="V45" s="224">
        <f t="shared" si="17"/>
        <v>0</v>
      </c>
      <c r="W45" s="224">
        <f t="shared" si="18"/>
        <v>0</v>
      </c>
      <c r="X45" s="224">
        <f t="shared" si="19"/>
        <v>0</v>
      </c>
      <c r="Y45" s="224">
        <f t="shared" si="20"/>
        <v>0</v>
      </c>
      <c r="Z45" s="224">
        <f t="shared" si="21"/>
        <v>0</v>
      </c>
      <c r="AB45" s="227">
        <v>5</v>
      </c>
    </row>
    <row r="46" spans="1:28" ht="16.5" hidden="1" customHeight="1">
      <c r="A46" s="561" t="s">
        <v>150</v>
      </c>
      <c r="B46" s="2" t="s">
        <v>151</v>
      </c>
      <c r="C46" s="219">
        <v>0</v>
      </c>
      <c r="D46" s="219">
        <v>0</v>
      </c>
      <c r="E46" s="219">
        <v>0</v>
      </c>
      <c r="F46" s="219">
        <v>0</v>
      </c>
      <c r="G46" s="219">
        <v>0</v>
      </c>
      <c r="H46" s="219" t="s">
        <v>122</v>
      </c>
      <c r="I46" s="219">
        <f t="shared" si="11"/>
        <v>0</v>
      </c>
      <c r="J46" s="219">
        <f>IF(H46="A",(I46+D46/AB46),0)</f>
        <v>0</v>
      </c>
      <c r="K46" s="219">
        <f t="shared" si="13"/>
        <v>0</v>
      </c>
      <c r="L46" s="219">
        <f t="shared" si="14"/>
        <v>0</v>
      </c>
      <c r="M46" s="219">
        <f t="shared" si="15"/>
        <v>0</v>
      </c>
      <c r="N46" s="218"/>
      <c r="O46" s="567">
        <f>SUM(I46:I51)</f>
        <v>0</v>
      </c>
      <c r="P46" s="540"/>
      <c r="Q46" s="219"/>
      <c r="R46" s="218"/>
      <c r="S46" s="220">
        <v>0.22</v>
      </c>
      <c r="T46" s="219">
        <f t="shared" si="16"/>
        <v>0</v>
      </c>
      <c r="U46" s="218"/>
      <c r="V46" s="219">
        <f t="shared" si="17"/>
        <v>0</v>
      </c>
      <c r="W46" s="219">
        <f t="shared" si="18"/>
        <v>0</v>
      </c>
      <c r="X46" s="219">
        <f t="shared" si="19"/>
        <v>0</v>
      </c>
      <c r="Y46" s="219">
        <f t="shared" si="20"/>
        <v>0</v>
      </c>
      <c r="Z46" s="219">
        <f t="shared" si="21"/>
        <v>0</v>
      </c>
      <c r="AB46" s="221">
        <v>7</v>
      </c>
    </row>
    <row r="47" spans="1:28" ht="16.5" hidden="1" customHeight="1">
      <c r="A47" s="561"/>
      <c r="B47" s="2" t="s">
        <v>130</v>
      </c>
      <c r="C47" s="219">
        <v>0</v>
      </c>
      <c r="D47" s="219">
        <v>0</v>
      </c>
      <c r="E47" s="219">
        <v>0</v>
      </c>
      <c r="F47" s="219">
        <v>0</v>
      </c>
      <c r="G47" s="219">
        <v>0</v>
      </c>
      <c r="H47" s="219" t="s">
        <v>122</v>
      </c>
      <c r="I47" s="219">
        <f t="shared" si="11"/>
        <v>0</v>
      </c>
      <c r="J47" s="219">
        <f t="shared" ref="J47:J76" si="22">IF(H47="A",(I47+D47/AB47),0)</f>
        <v>0</v>
      </c>
      <c r="K47" s="219">
        <f t="shared" si="13"/>
        <v>0</v>
      </c>
      <c r="L47" s="219">
        <f t="shared" si="14"/>
        <v>0</v>
      </c>
      <c r="M47" s="219">
        <f t="shared" si="15"/>
        <v>0</v>
      </c>
      <c r="N47" s="218"/>
      <c r="O47" s="571"/>
      <c r="P47" s="540"/>
      <c r="Q47" s="219"/>
      <c r="R47" s="218"/>
      <c r="S47" s="220">
        <v>0.22</v>
      </c>
      <c r="T47" s="219">
        <f t="shared" si="16"/>
        <v>0</v>
      </c>
      <c r="U47" s="218"/>
      <c r="V47" s="219">
        <f t="shared" si="17"/>
        <v>0</v>
      </c>
      <c r="W47" s="219">
        <f t="shared" si="18"/>
        <v>0</v>
      </c>
      <c r="X47" s="219">
        <f t="shared" si="19"/>
        <v>0</v>
      </c>
      <c r="Y47" s="219">
        <f t="shared" si="20"/>
        <v>0</v>
      </c>
      <c r="Z47" s="219">
        <f t="shared" si="21"/>
        <v>0</v>
      </c>
      <c r="AB47" s="221">
        <v>10</v>
      </c>
    </row>
    <row r="48" spans="1:28" ht="16.5" hidden="1" customHeight="1">
      <c r="A48" s="561"/>
      <c r="B48" s="2" t="s">
        <v>130</v>
      </c>
      <c r="C48" s="219">
        <v>0</v>
      </c>
      <c r="D48" s="219">
        <v>0</v>
      </c>
      <c r="E48" s="219">
        <v>0</v>
      </c>
      <c r="F48" s="219">
        <v>0</v>
      </c>
      <c r="G48" s="219">
        <v>0</v>
      </c>
      <c r="H48" s="219" t="s">
        <v>122</v>
      </c>
      <c r="I48" s="219">
        <f t="shared" si="11"/>
        <v>0</v>
      </c>
      <c r="J48" s="219">
        <f t="shared" si="22"/>
        <v>0</v>
      </c>
      <c r="K48" s="219">
        <f t="shared" si="13"/>
        <v>0</v>
      </c>
      <c r="L48" s="219">
        <f t="shared" si="14"/>
        <v>0</v>
      </c>
      <c r="M48" s="219">
        <f t="shared" si="15"/>
        <v>0</v>
      </c>
      <c r="N48" s="218"/>
      <c r="O48" s="571"/>
      <c r="P48" s="540"/>
      <c r="Q48" s="219"/>
      <c r="R48" s="218"/>
      <c r="S48" s="220">
        <v>0.22</v>
      </c>
      <c r="T48" s="219">
        <f t="shared" si="16"/>
        <v>0</v>
      </c>
      <c r="U48" s="218"/>
      <c r="V48" s="219">
        <f t="shared" si="17"/>
        <v>0</v>
      </c>
      <c r="W48" s="219">
        <f t="shared" si="18"/>
        <v>0</v>
      </c>
      <c r="X48" s="219">
        <f t="shared" si="19"/>
        <v>0</v>
      </c>
      <c r="Y48" s="219">
        <f t="shared" si="20"/>
        <v>0</v>
      </c>
      <c r="Z48" s="219">
        <f t="shared" si="21"/>
        <v>0</v>
      </c>
      <c r="AB48" s="221">
        <v>10</v>
      </c>
    </row>
    <row r="49" spans="1:28" ht="16.5" hidden="1" customHeight="1">
      <c r="A49" s="561"/>
      <c r="B49" s="2" t="s">
        <v>130</v>
      </c>
      <c r="C49" s="219">
        <v>0</v>
      </c>
      <c r="D49" s="219">
        <v>0</v>
      </c>
      <c r="E49" s="219">
        <v>0</v>
      </c>
      <c r="F49" s="219">
        <v>0</v>
      </c>
      <c r="G49" s="219">
        <v>0</v>
      </c>
      <c r="H49" s="219" t="s">
        <v>122</v>
      </c>
      <c r="I49" s="219">
        <f t="shared" si="11"/>
        <v>0</v>
      </c>
      <c r="J49" s="219">
        <f t="shared" si="22"/>
        <v>0</v>
      </c>
      <c r="K49" s="219">
        <f t="shared" si="13"/>
        <v>0</v>
      </c>
      <c r="L49" s="219">
        <f t="shared" si="14"/>
        <v>0</v>
      </c>
      <c r="M49" s="219">
        <f t="shared" si="15"/>
        <v>0</v>
      </c>
      <c r="N49" s="218"/>
      <c r="O49" s="571"/>
      <c r="P49" s="540"/>
      <c r="Q49" s="219"/>
      <c r="R49" s="218"/>
      <c r="S49" s="220">
        <v>0.22</v>
      </c>
      <c r="T49" s="219">
        <f t="shared" si="16"/>
        <v>0</v>
      </c>
      <c r="U49" s="218"/>
      <c r="V49" s="219">
        <f t="shared" si="17"/>
        <v>0</v>
      </c>
      <c r="W49" s="219">
        <f t="shared" si="18"/>
        <v>0</v>
      </c>
      <c r="X49" s="219">
        <f t="shared" si="19"/>
        <v>0</v>
      </c>
      <c r="Y49" s="219">
        <f t="shared" si="20"/>
        <v>0</v>
      </c>
      <c r="Z49" s="219">
        <f t="shared" si="21"/>
        <v>0</v>
      </c>
      <c r="AB49" s="221">
        <v>5</v>
      </c>
    </row>
    <row r="50" spans="1:28" ht="16.5" hidden="1" customHeight="1">
      <c r="A50" s="561"/>
      <c r="B50" s="2" t="s">
        <v>130</v>
      </c>
      <c r="C50" s="219">
        <v>0</v>
      </c>
      <c r="D50" s="219">
        <v>0</v>
      </c>
      <c r="E50" s="219">
        <v>0</v>
      </c>
      <c r="F50" s="219">
        <v>0</v>
      </c>
      <c r="G50" s="219">
        <v>0</v>
      </c>
      <c r="H50" s="219" t="s">
        <v>152</v>
      </c>
      <c r="I50" s="219">
        <f t="shared" si="11"/>
        <v>0</v>
      </c>
      <c r="J50" s="219">
        <f t="shared" si="22"/>
        <v>0</v>
      </c>
      <c r="K50" s="219">
        <f t="shared" si="13"/>
        <v>0</v>
      </c>
      <c r="L50" s="219">
        <f t="shared" si="14"/>
        <v>0</v>
      </c>
      <c r="M50" s="219">
        <f t="shared" si="15"/>
        <v>0</v>
      </c>
      <c r="N50" s="218"/>
      <c r="O50" s="571"/>
      <c r="P50" s="540"/>
      <c r="Q50" s="219"/>
      <c r="R50" s="218"/>
      <c r="S50" s="220">
        <v>0.22</v>
      </c>
      <c r="T50" s="219">
        <f t="shared" si="16"/>
        <v>0</v>
      </c>
      <c r="U50" s="218"/>
      <c r="V50" s="219">
        <f t="shared" si="17"/>
        <v>0</v>
      </c>
      <c r="W50" s="219">
        <f t="shared" si="18"/>
        <v>0</v>
      </c>
      <c r="X50" s="219">
        <f t="shared" si="19"/>
        <v>0</v>
      </c>
      <c r="Y50" s="219">
        <f t="shared" si="20"/>
        <v>0</v>
      </c>
      <c r="Z50" s="219">
        <f t="shared" si="21"/>
        <v>0</v>
      </c>
      <c r="AB50" s="221">
        <v>10</v>
      </c>
    </row>
    <row r="51" spans="1:28" ht="16.5" hidden="1" customHeight="1">
      <c r="A51" s="562"/>
      <c r="B51" s="222" t="s">
        <v>130</v>
      </c>
      <c r="C51" s="224">
        <v>0</v>
      </c>
      <c r="D51" s="224">
        <v>0</v>
      </c>
      <c r="E51" s="224">
        <v>0</v>
      </c>
      <c r="F51" s="224">
        <v>0</v>
      </c>
      <c r="G51" s="224">
        <v>0</v>
      </c>
      <c r="H51" s="224" t="s">
        <v>122</v>
      </c>
      <c r="I51" s="219">
        <f t="shared" si="11"/>
        <v>0</v>
      </c>
      <c r="J51" s="219">
        <f t="shared" si="22"/>
        <v>0</v>
      </c>
      <c r="K51" s="224">
        <f t="shared" si="13"/>
        <v>0</v>
      </c>
      <c r="L51" s="224">
        <f t="shared" si="14"/>
        <v>0</v>
      </c>
      <c r="M51" s="224">
        <f t="shared" si="15"/>
        <v>0</v>
      </c>
      <c r="N51" s="218"/>
      <c r="O51" s="572"/>
      <c r="P51" s="540"/>
      <c r="Q51" s="224"/>
      <c r="R51" s="218"/>
      <c r="S51" s="225">
        <v>0.22</v>
      </c>
      <c r="T51" s="224">
        <f t="shared" si="16"/>
        <v>0</v>
      </c>
      <c r="U51" s="218"/>
      <c r="V51" s="224">
        <f t="shared" si="17"/>
        <v>0</v>
      </c>
      <c r="W51" s="224">
        <f t="shared" si="18"/>
        <v>0</v>
      </c>
      <c r="X51" s="224">
        <f t="shared" si="19"/>
        <v>0</v>
      </c>
      <c r="Y51" s="224">
        <f t="shared" si="20"/>
        <v>0</v>
      </c>
      <c r="Z51" s="224">
        <f t="shared" si="21"/>
        <v>0</v>
      </c>
      <c r="AB51" s="227">
        <v>5</v>
      </c>
    </row>
    <row r="52" spans="1:28" ht="16.5" hidden="1" customHeight="1">
      <c r="A52" s="561" t="s">
        <v>153</v>
      </c>
      <c r="B52" s="2" t="s">
        <v>154</v>
      </c>
      <c r="C52" s="219">
        <v>0</v>
      </c>
      <c r="D52" s="219">
        <v>0</v>
      </c>
      <c r="E52" s="219">
        <v>0</v>
      </c>
      <c r="F52" s="219">
        <v>0</v>
      </c>
      <c r="G52" s="219">
        <v>0</v>
      </c>
      <c r="H52" s="219" t="s">
        <v>122</v>
      </c>
      <c r="I52" s="219">
        <f t="shared" si="11"/>
        <v>0</v>
      </c>
      <c r="J52" s="219">
        <f t="shared" si="22"/>
        <v>0</v>
      </c>
      <c r="K52" s="219">
        <f t="shared" si="13"/>
        <v>0</v>
      </c>
      <c r="L52" s="219">
        <f t="shared" si="14"/>
        <v>0</v>
      </c>
      <c r="M52" s="219">
        <f t="shared" si="15"/>
        <v>0</v>
      </c>
      <c r="N52" s="218"/>
      <c r="O52" s="571">
        <f>SUM(I52:I58)</f>
        <v>0</v>
      </c>
      <c r="P52" s="540"/>
      <c r="Q52" s="219"/>
      <c r="R52" s="218"/>
      <c r="S52" s="220">
        <v>0.22</v>
      </c>
      <c r="T52" s="219">
        <f t="shared" si="16"/>
        <v>0</v>
      </c>
      <c r="U52" s="218"/>
      <c r="V52" s="219">
        <f t="shared" si="17"/>
        <v>0</v>
      </c>
      <c r="W52" s="219">
        <f t="shared" si="18"/>
        <v>0</v>
      </c>
      <c r="X52" s="219">
        <f t="shared" si="19"/>
        <v>0</v>
      </c>
      <c r="Y52" s="219">
        <f t="shared" si="20"/>
        <v>0</v>
      </c>
      <c r="Z52" s="219">
        <f t="shared" si="21"/>
        <v>0</v>
      </c>
      <c r="AB52" s="221">
        <v>5</v>
      </c>
    </row>
    <row r="53" spans="1:28" ht="16.5" hidden="1" customHeight="1">
      <c r="A53" s="561"/>
      <c r="B53" s="2" t="s">
        <v>155</v>
      </c>
      <c r="C53" s="219">
        <v>0</v>
      </c>
      <c r="D53" s="219">
        <v>0</v>
      </c>
      <c r="E53" s="219">
        <v>0</v>
      </c>
      <c r="F53" s="219">
        <v>0</v>
      </c>
      <c r="G53" s="219">
        <v>0</v>
      </c>
      <c r="H53" s="219" t="s">
        <v>122</v>
      </c>
      <c r="I53" s="219">
        <f t="shared" si="11"/>
        <v>0</v>
      </c>
      <c r="J53" s="219">
        <f t="shared" si="22"/>
        <v>0</v>
      </c>
      <c r="K53" s="219">
        <f t="shared" si="13"/>
        <v>0</v>
      </c>
      <c r="L53" s="219">
        <f t="shared" si="14"/>
        <v>0</v>
      </c>
      <c r="M53" s="219">
        <f t="shared" si="15"/>
        <v>0</v>
      </c>
      <c r="N53" s="218"/>
      <c r="O53" s="571"/>
      <c r="P53" s="540"/>
      <c r="Q53" s="219"/>
      <c r="R53" s="218"/>
      <c r="S53" s="220">
        <v>0.22</v>
      </c>
      <c r="T53" s="219">
        <f t="shared" si="16"/>
        <v>0</v>
      </c>
      <c r="U53" s="218"/>
      <c r="V53" s="219">
        <f t="shared" si="17"/>
        <v>0</v>
      </c>
      <c r="W53" s="219">
        <f t="shared" si="18"/>
        <v>0</v>
      </c>
      <c r="X53" s="219">
        <f t="shared" si="19"/>
        <v>0</v>
      </c>
      <c r="Y53" s="219">
        <f t="shared" si="20"/>
        <v>0</v>
      </c>
      <c r="Z53" s="219">
        <f t="shared" si="21"/>
        <v>0</v>
      </c>
      <c r="AB53" s="221">
        <v>5</v>
      </c>
    </row>
    <row r="54" spans="1:28" ht="16.5" hidden="1" customHeight="1">
      <c r="A54" s="561"/>
      <c r="B54" s="2" t="s">
        <v>156</v>
      </c>
      <c r="C54" s="219">
        <v>0</v>
      </c>
      <c r="D54" s="219">
        <v>0</v>
      </c>
      <c r="E54" s="219">
        <v>0</v>
      </c>
      <c r="F54" s="219">
        <v>0</v>
      </c>
      <c r="G54" s="219">
        <v>0</v>
      </c>
      <c r="H54" s="219" t="s">
        <v>122</v>
      </c>
      <c r="I54" s="219">
        <f t="shared" si="11"/>
        <v>0</v>
      </c>
      <c r="J54" s="219">
        <f t="shared" si="22"/>
        <v>0</v>
      </c>
      <c r="K54" s="219">
        <f t="shared" si="13"/>
        <v>0</v>
      </c>
      <c r="L54" s="219">
        <f t="shared" si="14"/>
        <v>0</v>
      </c>
      <c r="M54" s="219">
        <f t="shared" si="15"/>
        <v>0</v>
      </c>
      <c r="N54" s="218"/>
      <c r="O54" s="571"/>
      <c r="P54" s="540"/>
      <c r="Q54" s="219"/>
      <c r="R54" s="218"/>
      <c r="S54" s="220">
        <v>0.22</v>
      </c>
      <c r="T54" s="219">
        <f t="shared" si="16"/>
        <v>0</v>
      </c>
      <c r="U54" s="218"/>
      <c r="V54" s="219">
        <f t="shared" si="17"/>
        <v>0</v>
      </c>
      <c r="W54" s="219">
        <f t="shared" si="18"/>
        <v>0</v>
      </c>
      <c r="X54" s="219">
        <f t="shared" si="19"/>
        <v>0</v>
      </c>
      <c r="Y54" s="219">
        <f t="shared" si="20"/>
        <v>0</v>
      </c>
      <c r="Z54" s="219">
        <f t="shared" si="21"/>
        <v>0</v>
      </c>
      <c r="AB54" s="221">
        <v>7</v>
      </c>
    </row>
    <row r="55" spans="1:28" ht="16.5" hidden="1" customHeight="1">
      <c r="A55" s="561"/>
      <c r="B55" s="2" t="s">
        <v>157</v>
      </c>
      <c r="C55" s="219">
        <v>0</v>
      </c>
      <c r="D55" s="219">
        <v>0</v>
      </c>
      <c r="E55" s="219">
        <v>0</v>
      </c>
      <c r="F55" s="219">
        <v>0</v>
      </c>
      <c r="G55" s="219">
        <v>0</v>
      </c>
      <c r="H55" s="219" t="s">
        <v>122</v>
      </c>
      <c r="I55" s="219">
        <f t="shared" si="11"/>
        <v>0</v>
      </c>
      <c r="J55" s="219">
        <f t="shared" si="22"/>
        <v>0</v>
      </c>
      <c r="K55" s="219">
        <f t="shared" si="13"/>
        <v>0</v>
      </c>
      <c r="L55" s="219">
        <f t="shared" si="14"/>
        <v>0</v>
      </c>
      <c r="M55" s="219">
        <f t="shared" si="15"/>
        <v>0</v>
      </c>
      <c r="N55" s="218"/>
      <c r="O55" s="571"/>
      <c r="P55" s="540"/>
      <c r="Q55" s="219"/>
      <c r="R55" s="218"/>
      <c r="S55" s="220">
        <v>0.22</v>
      </c>
      <c r="T55" s="219">
        <f t="shared" si="16"/>
        <v>0</v>
      </c>
      <c r="U55" s="218"/>
      <c r="V55" s="219">
        <f t="shared" si="17"/>
        <v>0</v>
      </c>
      <c r="W55" s="219">
        <f t="shared" si="18"/>
        <v>0</v>
      </c>
      <c r="X55" s="219">
        <f t="shared" si="19"/>
        <v>0</v>
      </c>
      <c r="Y55" s="219">
        <f t="shared" si="20"/>
        <v>0</v>
      </c>
      <c r="Z55" s="219">
        <f t="shared" si="21"/>
        <v>0</v>
      </c>
      <c r="AB55" s="221">
        <v>7</v>
      </c>
    </row>
    <row r="56" spans="1:28" ht="16.5" hidden="1" customHeight="1">
      <c r="A56" s="561"/>
      <c r="B56" s="2" t="s">
        <v>158</v>
      </c>
      <c r="C56" s="219">
        <v>0</v>
      </c>
      <c r="D56" s="219">
        <v>0</v>
      </c>
      <c r="E56" s="219">
        <v>0</v>
      </c>
      <c r="F56" s="219">
        <v>0</v>
      </c>
      <c r="G56" s="219">
        <v>0</v>
      </c>
      <c r="H56" s="219" t="s">
        <v>122</v>
      </c>
      <c r="I56" s="219">
        <f t="shared" si="11"/>
        <v>0</v>
      </c>
      <c r="J56" s="219">
        <f t="shared" si="22"/>
        <v>0</v>
      </c>
      <c r="K56" s="219">
        <f t="shared" si="13"/>
        <v>0</v>
      </c>
      <c r="L56" s="219">
        <f t="shared" si="14"/>
        <v>0</v>
      </c>
      <c r="M56" s="219">
        <f t="shared" si="15"/>
        <v>0</v>
      </c>
      <c r="N56" s="218"/>
      <c r="O56" s="571"/>
      <c r="P56" s="540"/>
      <c r="Q56" s="219"/>
      <c r="R56" s="218"/>
      <c r="S56" s="220">
        <v>0.22</v>
      </c>
      <c r="T56" s="219">
        <f t="shared" si="16"/>
        <v>0</v>
      </c>
      <c r="U56" s="218"/>
      <c r="V56" s="219">
        <f t="shared" si="17"/>
        <v>0</v>
      </c>
      <c r="W56" s="219">
        <f t="shared" si="18"/>
        <v>0</v>
      </c>
      <c r="X56" s="219">
        <f t="shared" si="19"/>
        <v>0</v>
      </c>
      <c r="Y56" s="219">
        <f t="shared" si="20"/>
        <v>0</v>
      </c>
      <c r="Z56" s="219">
        <f t="shared" si="21"/>
        <v>0</v>
      </c>
      <c r="AB56" s="221">
        <v>7</v>
      </c>
    </row>
    <row r="57" spans="1:28" ht="16.5" hidden="1" customHeight="1">
      <c r="A57" s="561"/>
      <c r="B57" s="2" t="s">
        <v>130</v>
      </c>
      <c r="C57" s="219">
        <v>0</v>
      </c>
      <c r="D57" s="219">
        <v>0</v>
      </c>
      <c r="E57" s="219">
        <v>0</v>
      </c>
      <c r="F57" s="219">
        <v>0</v>
      </c>
      <c r="G57" s="219">
        <v>0</v>
      </c>
      <c r="H57" s="219" t="s">
        <v>122</v>
      </c>
      <c r="I57" s="219">
        <f t="shared" si="11"/>
        <v>0</v>
      </c>
      <c r="J57" s="219">
        <f t="shared" si="22"/>
        <v>0</v>
      </c>
      <c r="K57" s="219">
        <f t="shared" si="13"/>
        <v>0</v>
      </c>
      <c r="L57" s="219">
        <f t="shared" si="14"/>
        <v>0</v>
      </c>
      <c r="M57" s="219">
        <f t="shared" si="15"/>
        <v>0</v>
      </c>
      <c r="N57" s="218"/>
      <c r="O57" s="571"/>
      <c r="P57" s="540"/>
      <c r="Q57" s="219"/>
      <c r="R57" s="218"/>
      <c r="S57" s="220">
        <v>0.22</v>
      </c>
      <c r="T57" s="219">
        <f t="shared" si="16"/>
        <v>0</v>
      </c>
      <c r="U57" s="218"/>
      <c r="V57" s="219">
        <f t="shared" si="17"/>
        <v>0</v>
      </c>
      <c r="W57" s="219">
        <f t="shared" si="18"/>
        <v>0</v>
      </c>
      <c r="X57" s="219">
        <f t="shared" si="19"/>
        <v>0</v>
      </c>
      <c r="Y57" s="219">
        <f t="shared" si="20"/>
        <v>0</v>
      </c>
      <c r="Z57" s="219">
        <f t="shared" si="21"/>
        <v>0</v>
      </c>
      <c r="AB57" s="221">
        <v>5</v>
      </c>
    </row>
    <row r="58" spans="1:28" ht="16.5" hidden="1" customHeight="1">
      <c r="A58" s="562"/>
      <c r="B58" s="222" t="s">
        <v>130</v>
      </c>
      <c r="C58" s="224">
        <v>0</v>
      </c>
      <c r="D58" s="224">
        <v>0</v>
      </c>
      <c r="E58" s="224">
        <v>0</v>
      </c>
      <c r="F58" s="224">
        <v>0</v>
      </c>
      <c r="G58" s="224">
        <v>0</v>
      </c>
      <c r="H58" s="224" t="s">
        <v>122</v>
      </c>
      <c r="I58" s="219">
        <f t="shared" si="11"/>
        <v>0</v>
      </c>
      <c r="J58" s="219">
        <f t="shared" si="22"/>
        <v>0</v>
      </c>
      <c r="K58" s="224">
        <f t="shared" si="13"/>
        <v>0</v>
      </c>
      <c r="L58" s="224">
        <f t="shared" si="14"/>
        <v>0</v>
      </c>
      <c r="M58" s="224">
        <f t="shared" si="15"/>
        <v>0</v>
      </c>
      <c r="N58" s="218"/>
      <c r="O58" s="571"/>
      <c r="P58" s="540"/>
      <c r="Q58" s="224"/>
      <c r="R58" s="218"/>
      <c r="S58" s="225">
        <v>0.22</v>
      </c>
      <c r="T58" s="224">
        <f t="shared" si="16"/>
        <v>0</v>
      </c>
      <c r="U58" s="218"/>
      <c r="V58" s="224">
        <f t="shared" si="17"/>
        <v>0</v>
      </c>
      <c r="W58" s="224">
        <f t="shared" si="18"/>
        <v>0</v>
      </c>
      <c r="X58" s="224">
        <f t="shared" si="19"/>
        <v>0</v>
      </c>
      <c r="Y58" s="224">
        <f t="shared" si="20"/>
        <v>0</v>
      </c>
      <c r="Z58" s="224">
        <f t="shared" si="21"/>
        <v>0</v>
      </c>
      <c r="AB58" s="221">
        <v>10</v>
      </c>
    </row>
    <row r="59" spans="1:28" ht="16.5" hidden="1" customHeight="1">
      <c r="A59" s="561" t="s">
        <v>159</v>
      </c>
      <c r="B59" s="2" t="s">
        <v>130</v>
      </c>
      <c r="C59" s="219">
        <v>0</v>
      </c>
      <c r="D59" s="219">
        <v>0</v>
      </c>
      <c r="E59" s="219">
        <v>0</v>
      </c>
      <c r="F59" s="219">
        <v>0</v>
      </c>
      <c r="G59" s="219">
        <v>0</v>
      </c>
      <c r="H59" s="219" t="s">
        <v>122</v>
      </c>
      <c r="I59" s="219">
        <f t="shared" si="11"/>
        <v>0</v>
      </c>
      <c r="J59" s="219">
        <f t="shared" si="22"/>
        <v>0</v>
      </c>
      <c r="K59" s="219">
        <f t="shared" si="13"/>
        <v>0</v>
      </c>
      <c r="L59" s="219">
        <f t="shared" si="14"/>
        <v>0</v>
      </c>
      <c r="M59" s="219">
        <f t="shared" si="15"/>
        <v>0</v>
      </c>
      <c r="N59" s="218"/>
      <c r="O59" s="567">
        <f>SUM(I59:I64)</f>
        <v>0</v>
      </c>
      <c r="P59" s="540"/>
      <c r="Q59" s="219"/>
      <c r="R59" s="218"/>
      <c r="S59" s="220">
        <v>0.22</v>
      </c>
      <c r="T59" s="219">
        <f t="shared" si="16"/>
        <v>0</v>
      </c>
      <c r="U59" s="218"/>
      <c r="V59" s="219">
        <f t="shared" si="17"/>
        <v>0</v>
      </c>
      <c r="W59" s="219">
        <f t="shared" si="18"/>
        <v>0</v>
      </c>
      <c r="X59" s="219">
        <f t="shared" si="19"/>
        <v>0</v>
      </c>
      <c r="Y59" s="219">
        <f t="shared" si="20"/>
        <v>0</v>
      </c>
      <c r="Z59" s="219">
        <f t="shared" si="21"/>
        <v>0</v>
      </c>
      <c r="AB59" s="226">
        <v>7</v>
      </c>
    </row>
    <row r="60" spans="1:28" ht="16.5" hidden="1" customHeight="1">
      <c r="A60" s="561"/>
      <c r="B60" s="2" t="s">
        <v>130</v>
      </c>
      <c r="C60" s="219">
        <v>0</v>
      </c>
      <c r="D60" s="219">
        <v>0</v>
      </c>
      <c r="E60" s="219">
        <v>0</v>
      </c>
      <c r="F60" s="219">
        <v>0</v>
      </c>
      <c r="G60" s="219">
        <v>0</v>
      </c>
      <c r="H60" s="219" t="s">
        <v>152</v>
      </c>
      <c r="I60" s="219">
        <f t="shared" si="11"/>
        <v>0</v>
      </c>
      <c r="J60" s="219">
        <f t="shared" si="22"/>
        <v>0</v>
      </c>
      <c r="K60" s="219">
        <f t="shared" si="13"/>
        <v>0</v>
      </c>
      <c r="L60" s="219">
        <f t="shared" si="14"/>
        <v>0</v>
      </c>
      <c r="M60" s="219">
        <f t="shared" si="15"/>
        <v>0</v>
      </c>
      <c r="N60" s="218"/>
      <c r="O60" s="571"/>
      <c r="P60" s="540"/>
      <c r="Q60" s="219"/>
      <c r="R60" s="218"/>
      <c r="S60" s="220">
        <v>0.22</v>
      </c>
      <c r="T60" s="219">
        <f t="shared" si="16"/>
        <v>0</v>
      </c>
      <c r="U60" s="218"/>
      <c r="V60" s="219">
        <f t="shared" si="17"/>
        <v>0</v>
      </c>
      <c r="W60" s="219">
        <f t="shared" si="18"/>
        <v>0</v>
      </c>
      <c r="X60" s="219">
        <f t="shared" si="19"/>
        <v>0</v>
      </c>
      <c r="Y60" s="219">
        <f t="shared" si="20"/>
        <v>0</v>
      </c>
      <c r="Z60" s="219">
        <f t="shared" si="21"/>
        <v>0</v>
      </c>
      <c r="AB60" s="221">
        <v>5</v>
      </c>
    </row>
    <row r="61" spans="1:28" ht="16.5" hidden="1" customHeight="1">
      <c r="A61" s="561"/>
      <c r="B61" s="2" t="s">
        <v>130</v>
      </c>
      <c r="C61" s="219">
        <v>0</v>
      </c>
      <c r="D61" s="219">
        <v>0</v>
      </c>
      <c r="E61" s="219">
        <v>0</v>
      </c>
      <c r="F61" s="219">
        <v>0</v>
      </c>
      <c r="G61" s="219">
        <v>0</v>
      </c>
      <c r="H61" s="219" t="s">
        <v>122</v>
      </c>
      <c r="I61" s="219">
        <f t="shared" si="11"/>
        <v>0</v>
      </c>
      <c r="J61" s="219">
        <f t="shared" si="22"/>
        <v>0</v>
      </c>
      <c r="K61" s="219">
        <f t="shared" si="13"/>
        <v>0</v>
      </c>
      <c r="L61" s="219">
        <f t="shared" si="14"/>
        <v>0</v>
      </c>
      <c r="M61" s="219">
        <f t="shared" si="15"/>
        <v>0</v>
      </c>
      <c r="N61" s="218"/>
      <c r="O61" s="571"/>
      <c r="P61" s="540"/>
      <c r="Q61" s="219"/>
      <c r="R61" s="218"/>
      <c r="S61" s="220">
        <v>0.22</v>
      </c>
      <c r="T61" s="219">
        <f t="shared" si="16"/>
        <v>0</v>
      </c>
      <c r="U61" s="218"/>
      <c r="V61" s="219">
        <f t="shared" si="17"/>
        <v>0</v>
      </c>
      <c r="W61" s="219">
        <f t="shared" si="18"/>
        <v>0</v>
      </c>
      <c r="X61" s="219">
        <f t="shared" si="19"/>
        <v>0</v>
      </c>
      <c r="Y61" s="219">
        <f t="shared" si="20"/>
        <v>0</v>
      </c>
      <c r="Z61" s="219">
        <f t="shared" si="21"/>
        <v>0</v>
      </c>
      <c r="AB61" s="221">
        <v>5</v>
      </c>
    </row>
    <row r="62" spans="1:28" ht="16.5" hidden="1" customHeight="1">
      <c r="A62" s="561"/>
      <c r="B62" s="2" t="s">
        <v>130</v>
      </c>
      <c r="C62" s="219">
        <v>0</v>
      </c>
      <c r="D62" s="219">
        <v>0</v>
      </c>
      <c r="E62" s="219">
        <v>0</v>
      </c>
      <c r="F62" s="219">
        <v>0</v>
      </c>
      <c r="G62" s="219">
        <v>0</v>
      </c>
      <c r="H62" s="219" t="s">
        <v>122</v>
      </c>
      <c r="I62" s="219">
        <f t="shared" si="11"/>
        <v>0</v>
      </c>
      <c r="J62" s="219">
        <f t="shared" si="22"/>
        <v>0</v>
      </c>
      <c r="K62" s="219">
        <f t="shared" si="13"/>
        <v>0</v>
      </c>
      <c r="L62" s="219">
        <f t="shared" si="14"/>
        <v>0</v>
      </c>
      <c r="M62" s="219">
        <f t="shared" si="15"/>
        <v>0</v>
      </c>
      <c r="N62" s="218"/>
      <c r="O62" s="571"/>
      <c r="P62" s="540"/>
      <c r="Q62" s="219"/>
      <c r="R62" s="218"/>
      <c r="S62" s="220">
        <v>0.22</v>
      </c>
      <c r="T62" s="219">
        <f t="shared" si="16"/>
        <v>0</v>
      </c>
      <c r="U62" s="218"/>
      <c r="V62" s="219">
        <f t="shared" si="17"/>
        <v>0</v>
      </c>
      <c r="W62" s="219">
        <f t="shared" si="18"/>
        <v>0</v>
      </c>
      <c r="X62" s="219">
        <f t="shared" si="19"/>
        <v>0</v>
      </c>
      <c r="Y62" s="219">
        <f t="shared" si="20"/>
        <v>0</v>
      </c>
      <c r="Z62" s="219">
        <f t="shared" si="21"/>
        <v>0</v>
      </c>
      <c r="AB62" s="221">
        <v>5</v>
      </c>
    </row>
    <row r="63" spans="1:28" ht="16.5" hidden="1" customHeight="1">
      <c r="A63" s="561"/>
      <c r="B63" s="2" t="s">
        <v>130</v>
      </c>
      <c r="C63" s="219">
        <v>0</v>
      </c>
      <c r="D63" s="219">
        <v>0</v>
      </c>
      <c r="E63" s="219">
        <v>0</v>
      </c>
      <c r="F63" s="219">
        <v>0</v>
      </c>
      <c r="G63" s="219">
        <v>0</v>
      </c>
      <c r="H63" s="219" t="s">
        <v>122</v>
      </c>
      <c r="I63" s="219">
        <f t="shared" si="11"/>
        <v>0</v>
      </c>
      <c r="J63" s="219">
        <f t="shared" si="22"/>
        <v>0</v>
      </c>
      <c r="K63" s="219">
        <f t="shared" si="13"/>
        <v>0</v>
      </c>
      <c r="L63" s="219">
        <f t="shared" si="14"/>
        <v>0</v>
      </c>
      <c r="M63" s="219">
        <f t="shared" si="15"/>
        <v>0</v>
      </c>
      <c r="N63" s="218"/>
      <c r="O63" s="571"/>
      <c r="P63" s="540"/>
      <c r="Q63" s="219"/>
      <c r="R63" s="218"/>
      <c r="S63" s="220">
        <v>0.22</v>
      </c>
      <c r="T63" s="219">
        <f t="shared" si="16"/>
        <v>0</v>
      </c>
      <c r="U63" s="218"/>
      <c r="V63" s="219">
        <f t="shared" si="17"/>
        <v>0</v>
      </c>
      <c r="W63" s="219">
        <f t="shared" si="18"/>
        <v>0</v>
      </c>
      <c r="X63" s="219">
        <f t="shared" si="19"/>
        <v>0</v>
      </c>
      <c r="Y63" s="219">
        <f t="shared" si="20"/>
        <v>0</v>
      </c>
      <c r="Z63" s="219">
        <f t="shared" si="21"/>
        <v>0</v>
      </c>
      <c r="AB63" s="221">
        <v>5</v>
      </c>
    </row>
    <row r="64" spans="1:28" ht="16.5" hidden="1" customHeight="1">
      <c r="A64" s="562"/>
      <c r="B64" s="224" t="s">
        <v>130</v>
      </c>
      <c r="C64" s="224">
        <v>0</v>
      </c>
      <c r="D64" s="224">
        <v>0</v>
      </c>
      <c r="E64" s="224">
        <v>0</v>
      </c>
      <c r="F64" s="224">
        <v>0</v>
      </c>
      <c r="G64" s="224">
        <v>0</v>
      </c>
      <c r="H64" s="224" t="s">
        <v>122</v>
      </c>
      <c r="I64" s="219">
        <f t="shared" si="11"/>
        <v>0</v>
      </c>
      <c r="J64" s="219">
        <f t="shared" si="22"/>
        <v>0</v>
      </c>
      <c r="K64" s="224">
        <f t="shared" si="13"/>
        <v>0</v>
      </c>
      <c r="L64" s="224">
        <f t="shared" si="14"/>
        <v>0</v>
      </c>
      <c r="M64" s="224">
        <f t="shared" si="15"/>
        <v>0</v>
      </c>
      <c r="N64" s="218"/>
      <c r="O64" s="571"/>
      <c r="P64" s="540"/>
      <c r="Q64" s="224"/>
      <c r="R64" s="218"/>
      <c r="S64" s="225">
        <v>0.22</v>
      </c>
      <c r="T64" s="224">
        <f t="shared" si="16"/>
        <v>0</v>
      </c>
      <c r="U64" s="218"/>
      <c r="V64" s="224">
        <f t="shared" si="17"/>
        <v>0</v>
      </c>
      <c r="W64" s="224">
        <f t="shared" si="18"/>
        <v>0</v>
      </c>
      <c r="X64" s="224">
        <f t="shared" si="19"/>
        <v>0</v>
      </c>
      <c r="Y64" s="224">
        <f t="shared" si="20"/>
        <v>0</v>
      </c>
      <c r="Z64" s="224">
        <f t="shared" si="21"/>
        <v>0</v>
      </c>
      <c r="AB64" s="227">
        <v>5</v>
      </c>
    </row>
    <row r="65" spans="1:28" ht="16.5" hidden="1" customHeight="1">
      <c r="A65" s="561" t="s">
        <v>160</v>
      </c>
      <c r="B65" s="2" t="s">
        <v>161</v>
      </c>
      <c r="C65" s="219">
        <v>0</v>
      </c>
      <c r="D65" s="219">
        <v>0</v>
      </c>
      <c r="E65" s="219">
        <v>0</v>
      </c>
      <c r="F65" s="219">
        <v>0</v>
      </c>
      <c r="G65" s="219">
        <v>0</v>
      </c>
      <c r="H65" s="219" t="s">
        <v>122</v>
      </c>
      <c r="I65" s="219">
        <f t="shared" si="11"/>
        <v>0</v>
      </c>
      <c r="J65" s="219">
        <f t="shared" si="22"/>
        <v>0</v>
      </c>
      <c r="K65" s="219">
        <f t="shared" si="13"/>
        <v>0</v>
      </c>
      <c r="L65" s="219">
        <f t="shared" si="14"/>
        <v>0</v>
      </c>
      <c r="M65" s="219">
        <f t="shared" si="15"/>
        <v>0</v>
      </c>
      <c r="N65" s="218"/>
      <c r="O65" s="567">
        <f>SUM(I65:I70)</f>
        <v>0</v>
      </c>
      <c r="P65" s="540"/>
      <c r="Q65" s="219"/>
      <c r="R65" s="218"/>
      <c r="S65" s="220">
        <v>0.22</v>
      </c>
      <c r="T65" s="219">
        <f t="shared" si="16"/>
        <v>0</v>
      </c>
      <c r="U65" s="218"/>
      <c r="V65" s="219">
        <f t="shared" si="17"/>
        <v>0</v>
      </c>
      <c r="W65" s="219">
        <f t="shared" si="18"/>
        <v>0</v>
      </c>
      <c r="X65" s="219">
        <f t="shared" si="19"/>
        <v>0</v>
      </c>
      <c r="Y65" s="219">
        <f t="shared" si="20"/>
        <v>0</v>
      </c>
      <c r="Z65" s="219">
        <f t="shared" si="21"/>
        <v>0</v>
      </c>
      <c r="AB65" s="221">
        <v>7</v>
      </c>
    </row>
    <row r="66" spans="1:28" ht="16.5" hidden="1" customHeight="1">
      <c r="A66" s="561"/>
      <c r="B66" s="2" t="s">
        <v>130</v>
      </c>
      <c r="C66" s="219">
        <v>0</v>
      </c>
      <c r="D66" s="219">
        <v>0</v>
      </c>
      <c r="E66" s="219">
        <v>0</v>
      </c>
      <c r="F66" s="219">
        <v>0</v>
      </c>
      <c r="G66" s="219">
        <v>0</v>
      </c>
      <c r="H66" s="219" t="s">
        <v>122</v>
      </c>
      <c r="I66" s="219">
        <f t="shared" si="11"/>
        <v>0</v>
      </c>
      <c r="J66" s="219">
        <f t="shared" si="22"/>
        <v>0</v>
      </c>
      <c r="K66" s="219">
        <f t="shared" si="13"/>
        <v>0</v>
      </c>
      <c r="L66" s="219">
        <f t="shared" si="14"/>
        <v>0</v>
      </c>
      <c r="M66" s="219">
        <f t="shared" si="15"/>
        <v>0</v>
      </c>
      <c r="N66" s="218"/>
      <c r="O66" s="571"/>
      <c r="P66" s="540"/>
      <c r="Q66" s="219"/>
      <c r="R66" s="218"/>
      <c r="S66" s="220">
        <v>0.22</v>
      </c>
      <c r="T66" s="219">
        <f t="shared" si="16"/>
        <v>0</v>
      </c>
      <c r="U66" s="218"/>
      <c r="V66" s="219">
        <f t="shared" si="17"/>
        <v>0</v>
      </c>
      <c r="W66" s="219">
        <f t="shared" si="18"/>
        <v>0</v>
      </c>
      <c r="X66" s="219">
        <f t="shared" si="19"/>
        <v>0</v>
      </c>
      <c r="Y66" s="219">
        <f t="shared" si="20"/>
        <v>0</v>
      </c>
      <c r="Z66" s="219">
        <f t="shared" si="21"/>
        <v>0</v>
      </c>
      <c r="AB66" s="221">
        <v>5</v>
      </c>
    </row>
    <row r="67" spans="1:28" ht="16.5" hidden="1" customHeight="1">
      <c r="A67" s="561"/>
      <c r="B67" s="2" t="s">
        <v>130</v>
      </c>
      <c r="C67" s="219">
        <v>0</v>
      </c>
      <c r="D67" s="219">
        <v>0</v>
      </c>
      <c r="E67" s="219">
        <v>0</v>
      </c>
      <c r="F67" s="219">
        <v>0</v>
      </c>
      <c r="G67" s="219">
        <v>0</v>
      </c>
      <c r="H67" s="219" t="s">
        <v>122</v>
      </c>
      <c r="I67" s="219">
        <f t="shared" si="11"/>
        <v>0</v>
      </c>
      <c r="J67" s="219">
        <f t="shared" si="22"/>
        <v>0</v>
      </c>
      <c r="K67" s="219">
        <f t="shared" si="13"/>
        <v>0</v>
      </c>
      <c r="L67" s="219">
        <f t="shared" si="14"/>
        <v>0</v>
      </c>
      <c r="M67" s="219">
        <f t="shared" si="15"/>
        <v>0</v>
      </c>
      <c r="N67" s="218"/>
      <c r="O67" s="571"/>
      <c r="P67" s="540"/>
      <c r="Q67" s="219"/>
      <c r="R67" s="218"/>
      <c r="S67" s="220">
        <v>0.22</v>
      </c>
      <c r="T67" s="219">
        <f t="shared" si="16"/>
        <v>0</v>
      </c>
      <c r="U67" s="218"/>
      <c r="V67" s="219">
        <f t="shared" si="17"/>
        <v>0</v>
      </c>
      <c r="W67" s="219">
        <f t="shared" si="18"/>
        <v>0</v>
      </c>
      <c r="X67" s="219">
        <f t="shared" si="19"/>
        <v>0</v>
      </c>
      <c r="Y67" s="219">
        <f t="shared" si="20"/>
        <v>0</v>
      </c>
      <c r="Z67" s="219">
        <f t="shared" si="21"/>
        <v>0</v>
      </c>
      <c r="AB67" s="221">
        <v>5</v>
      </c>
    </row>
    <row r="68" spans="1:28" ht="16.5" hidden="1" customHeight="1">
      <c r="A68" s="561"/>
      <c r="B68" s="2" t="s">
        <v>130</v>
      </c>
      <c r="C68" s="219">
        <v>0</v>
      </c>
      <c r="D68" s="219">
        <v>0</v>
      </c>
      <c r="E68" s="219">
        <v>0</v>
      </c>
      <c r="F68" s="219">
        <v>0</v>
      </c>
      <c r="G68" s="219">
        <v>0</v>
      </c>
      <c r="H68" s="219" t="s">
        <v>122</v>
      </c>
      <c r="I68" s="219">
        <f t="shared" si="11"/>
        <v>0</v>
      </c>
      <c r="J68" s="219">
        <f t="shared" si="22"/>
        <v>0</v>
      </c>
      <c r="K68" s="219">
        <f t="shared" si="13"/>
        <v>0</v>
      </c>
      <c r="L68" s="219">
        <f t="shared" si="14"/>
        <v>0</v>
      </c>
      <c r="M68" s="219">
        <f t="shared" si="15"/>
        <v>0</v>
      </c>
      <c r="N68" s="218"/>
      <c r="O68" s="571"/>
      <c r="P68" s="540"/>
      <c r="Q68" s="219"/>
      <c r="R68" s="218"/>
      <c r="S68" s="220">
        <v>0.22</v>
      </c>
      <c r="T68" s="219">
        <f t="shared" si="16"/>
        <v>0</v>
      </c>
      <c r="U68" s="218"/>
      <c r="V68" s="219">
        <f t="shared" si="17"/>
        <v>0</v>
      </c>
      <c r="W68" s="219">
        <f t="shared" si="18"/>
        <v>0</v>
      </c>
      <c r="X68" s="219">
        <f t="shared" si="19"/>
        <v>0</v>
      </c>
      <c r="Y68" s="219">
        <f t="shared" si="20"/>
        <v>0</v>
      </c>
      <c r="Z68" s="219">
        <f t="shared" si="21"/>
        <v>0</v>
      </c>
      <c r="AB68" s="221">
        <v>5</v>
      </c>
    </row>
    <row r="69" spans="1:28" ht="16.5" hidden="1" customHeight="1">
      <c r="A69" s="561"/>
      <c r="B69" s="2" t="s">
        <v>130</v>
      </c>
      <c r="C69" s="219">
        <v>0</v>
      </c>
      <c r="D69" s="219">
        <v>0</v>
      </c>
      <c r="E69" s="219">
        <v>0</v>
      </c>
      <c r="F69" s="219">
        <v>0</v>
      </c>
      <c r="G69" s="219">
        <v>0</v>
      </c>
      <c r="H69" s="219" t="s">
        <v>122</v>
      </c>
      <c r="I69" s="219">
        <f t="shared" si="11"/>
        <v>0</v>
      </c>
      <c r="J69" s="219">
        <f t="shared" si="22"/>
        <v>0</v>
      </c>
      <c r="K69" s="219">
        <f t="shared" si="13"/>
        <v>0</v>
      </c>
      <c r="L69" s="219">
        <f t="shared" si="14"/>
        <v>0</v>
      </c>
      <c r="M69" s="219">
        <f t="shared" si="15"/>
        <v>0</v>
      </c>
      <c r="N69" s="218"/>
      <c r="O69" s="571"/>
      <c r="P69" s="540"/>
      <c r="Q69" s="219"/>
      <c r="R69" s="218"/>
      <c r="S69" s="220">
        <v>0.22</v>
      </c>
      <c r="T69" s="219">
        <f t="shared" si="16"/>
        <v>0</v>
      </c>
      <c r="U69" s="218"/>
      <c r="V69" s="219">
        <f t="shared" si="17"/>
        <v>0</v>
      </c>
      <c r="W69" s="219">
        <f t="shared" si="18"/>
        <v>0</v>
      </c>
      <c r="X69" s="219">
        <f t="shared" si="19"/>
        <v>0</v>
      </c>
      <c r="Y69" s="219">
        <f t="shared" si="20"/>
        <v>0</v>
      </c>
      <c r="Z69" s="219">
        <f t="shared" si="21"/>
        <v>0</v>
      </c>
      <c r="AB69" s="221">
        <v>5</v>
      </c>
    </row>
    <row r="70" spans="1:28" ht="16.5" hidden="1" customHeight="1">
      <c r="A70" s="562"/>
      <c r="B70" s="222" t="s">
        <v>130</v>
      </c>
      <c r="C70" s="224">
        <v>0</v>
      </c>
      <c r="D70" s="224">
        <v>0</v>
      </c>
      <c r="E70" s="224">
        <v>0</v>
      </c>
      <c r="F70" s="224">
        <v>0</v>
      </c>
      <c r="G70" s="224">
        <v>0</v>
      </c>
      <c r="H70" s="224" t="s">
        <v>122</v>
      </c>
      <c r="I70" s="219">
        <f t="shared" si="11"/>
        <v>0</v>
      </c>
      <c r="J70" s="219">
        <f t="shared" si="22"/>
        <v>0</v>
      </c>
      <c r="K70" s="224">
        <f t="shared" si="13"/>
        <v>0</v>
      </c>
      <c r="L70" s="224">
        <f t="shared" si="14"/>
        <v>0</v>
      </c>
      <c r="M70" s="224">
        <f t="shared" si="15"/>
        <v>0</v>
      </c>
      <c r="N70" s="218"/>
      <c r="O70" s="571"/>
      <c r="P70" s="540"/>
      <c r="Q70" s="224"/>
      <c r="R70" s="218"/>
      <c r="S70" s="225">
        <v>0.22</v>
      </c>
      <c r="T70" s="224">
        <f t="shared" si="16"/>
        <v>0</v>
      </c>
      <c r="U70" s="218"/>
      <c r="V70" s="224">
        <f t="shared" si="17"/>
        <v>0</v>
      </c>
      <c r="W70" s="224">
        <f t="shared" si="18"/>
        <v>0</v>
      </c>
      <c r="X70" s="224">
        <f t="shared" si="19"/>
        <v>0</v>
      </c>
      <c r="Y70" s="224">
        <f t="shared" si="20"/>
        <v>0</v>
      </c>
      <c r="Z70" s="224">
        <f t="shared" si="21"/>
        <v>0</v>
      </c>
      <c r="AB70" s="227">
        <v>5</v>
      </c>
    </row>
    <row r="71" spans="1:28" ht="16.5" hidden="1" customHeight="1">
      <c r="A71" s="561" t="s">
        <v>162</v>
      </c>
      <c r="B71" s="2" t="s">
        <v>130</v>
      </c>
      <c r="C71" s="219">
        <v>0</v>
      </c>
      <c r="D71" s="219">
        <v>0</v>
      </c>
      <c r="E71" s="219">
        <v>0</v>
      </c>
      <c r="F71" s="219">
        <v>0</v>
      </c>
      <c r="G71" s="219">
        <v>0</v>
      </c>
      <c r="H71" s="219" t="s">
        <v>122</v>
      </c>
      <c r="I71" s="219">
        <f t="shared" si="11"/>
        <v>0</v>
      </c>
      <c r="J71" s="219">
        <f t="shared" si="22"/>
        <v>0</v>
      </c>
      <c r="K71" s="219">
        <f>J71+E71/AB71</f>
        <v>0</v>
      </c>
      <c r="L71" s="219">
        <f>K71+F71/AB71</f>
        <v>0</v>
      </c>
      <c r="M71" s="219">
        <f>L71+G71/AB71</f>
        <v>0</v>
      </c>
      <c r="N71" s="218"/>
      <c r="O71" s="567">
        <f>SUM(I71:I74)</f>
        <v>0</v>
      </c>
      <c r="P71" s="540"/>
      <c r="Q71" s="219"/>
      <c r="R71" s="218"/>
      <c r="S71" s="220">
        <v>0.22</v>
      </c>
      <c r="T71" s="219">
        <f t="shared" si="16"/>
        <v>0</v>
      </c>
      <c r="U71" s="218"/>
      <c r="V71" s="219">
        <f>C71-I71</f>
        <v>0</v>
      </c>
      <c r="W71" s="219">
        <f>(C71-C71/AB71-C71/AB71)+(D71-D71/AB71)</f>
        <v>0</v>
      </c>
      <c r="X71" s="219">
        <f>(C71-C71/AB71-C71/AB71-C71/AB71)+(D71-D71/AB71-D71/AB71)+(E71-E71/AB71)</f>
        <v>0</v>
      </c>
      <c r="Y71" s="219">
        <f>(C71-C71/AB71-C71/AB71-C71/AB71-C71/AB71)+(D71-D71/AB71-D71/AB71-D71/AB71)+(E71-E71/AB71-E71/AB71)+(F71-F71/AB71)</f>
        <v>0</v>
      </c>
      <c r="Z71" s="219">
        <f>(C71-C71/AB71-C71/AB71-C71/AB71-C71/AB71-C71/AB71)+(D71-D71/AB71-D71/AB71-D71/AB71-D71/AB71)+(E71-E71/AB71-E71/AB71-E71/AB71)+(F71-F71/AB71-F71/AB71)+(G71-G71/AB71)</f>
        <v>0</v>
      </c>
      <c r="AB71" s="221">
        <v>5</v>
      </c>
    </row>
    <row r="72" spans="1:28" ht="16.5" hidden="1" customHeight="1">
      <c r="A72" s="561"/>
      <c r="B72" s="2" t="s">
        <v>130</v>
      </c>
      <c r="C72" s="219">
        <v>0</v>
      </c>
      <c r="D72" s="219">
        <v>0</v>
      </c>
      <c r="E72" s="219">
        <v>0</v>
      </c>
      <c r="F72" s="219">
        <v>0</v>
      </c>
      <c r="G72" s="219">
        <v>0</v>
      </c>
      <c r="H72" s="219" t="s">
        <v>122</v>
      </c>
      <c r="I72" s="219">
        <f t="shared" si="11"/>
        <v>0</v>
      </c>
      <c r="J72" s="219">
        <f t="shared" si="22"/>
        <v>0</v>
      </c>
      <c r="K72" s="219">
        <f t="shared" si="13"/>
        <v>0</v>
      </c>
      <c r="L72" s="219">
        <f t="shared" si="14"/>
        <v>0</v>
      </c>
      <c r="M72" s="219">
        <f t="shared" si="15"/>
        <v>0</v>
      </c>
      <c r="N72" s="218"/>
      <c r="O72" s="571"/>
      <c r="P72" s="540"/>
      <c r="Q72" s="219"/>
      <c r="R72" s="218"/>
      <c r="S72" s="220">
        <v>0.22</v>
      </c>
      <c r="T72" s="219">
        <f t="shared" si="16"/>
        <v>0</v>
      </c>
      <c r="U72" s="218"/>
      <c r="V72" s="219">
        <f t="shared" si="17"/>
        <v>0</v>
      </c>
      <c r="W72" s="219">
        <f t="shared" si="18"/>
        <v>0</v>
      </c>
      <c r="X72" s="219">
        <f t="shared" si="19"/>
        <v>0</v>
      </c>
      <c r="Y72" s="219">
        <f t="shared" si="20"/>
        <v>0</v>
      </c>
      <c r="Z72" s="219">
        <f t="shared" si="21"/>
        <v>0</v>
      </c>
      <c r="AB72" s="221">
        <v>5</v>
      </c>
    </row>
    <row r="73" spans="1:28" ht="16.5" hidden="1" customHeight="1">
      <c r="A73" s="561"/>
      <c r="B73" s="2" t="s">
        <v>130</v>
      </c>
      <c r="C73" s="219">
        <v>0</v>
      </c>
      <c r="D73" s="219">
        <v>0</v>
      </c>
      <c r="E73" s="219">
        <v>0</v>
      </c>
      <c r="F73" s="219">
        <v>0</v>
      </c>
      <c r="G73" s="219">
        <v>0</v>
      </c>
      <c r="H73" s="219" t="s">
        <v>122</v>
      </c>
      <c r="I73" s="219">
        <f t="shared" si="11"/>
        <v>0</v>
      </c>
      <c r="J73" s="219">
        <f t="shared" si="22"/>
        <v>0</v>
      </c>
      <c r="K73" s="219">
        <f t="shared" si="13"/>
        <v>0</v>
      </c>
      <c r="L73" s="219">
        <f t="shared" si="14"/>
        <v>0</v>
      </c>
      <c r="M73" s="219">
        <f t="shared" si="15"/>
        <v>0</v>
      </c>
      <c r="N73" s="218"/>
      <c r="O73" s="571"/>
      <c r="P73" s="540"/>
      <c r="Q73" s="219"/>
      <c r="R73" s="218"/>
      <c r="S73" s="220">
        <v>0.22</v>
      </c>
      <c r="T73" s="219">
        <f t="shared" si="16"/>
        <v>0</v>
      </c>
      <c r="U73" s="218"/>
      <c r="V73" s="219">
        <f t="shared" si="17"/>
        <v>0</v>
      </c>
      <c r="W73" s="219">
        <f t="shared" si="18"/>
        <v>0</v>
      </c>
      <c r="X73" s="219">
        <f t="shared" si="19"/>
        <v>0</v>
      </c>
      <c r="Y73" s="219">
        <f t="shared" si="20"/>
        <v>0</v>
      </c>
      <c r="Z73" s="219">
        <f t="shared" si="21"/>
        <v>0</v>
      </c>
      <c r="AB73" s="221">
        <v>5</v>
      </c>
    </row>
    <row r="74" spans="1:28" ht="16.5" hidden="1" customHeight="1">
      <c r="A74" s="562"/>
      <c r="B74" s="222" t="s">
        <v>130</v>
      </c>
      <c r="C74" s="219">
        <v>0</v>
      </c>
      <c r="D74" s="224">
        <v>0</v>
      </c>
      <c r="E74" s="224">
        <v>0</v>
      </c>
      <c r="F74" s="224">
        <v>0</v>
      </c>
      <c r="G74" s="224">
        <v>0</v>
      </c>
      <c r="H74" s="224" t="s">
        <v>122</v>
      </c>
      <c r="I74" s="219">
        <f t="shared" si="11"/>
        <v>0</v>
      </c>
      <c r="J74" s="219">
        <f t="shared" si="22"/>
        <v>0</v>
      </c>
      <c r="K74" s="224">
        <f t="shared" si="13"/>
        <v>0</v>
      </c>
      <c r="L74" s="224">
        <f t="shared" si="14"/>
        <v>0</v>
      </c>
      <c r="M74" s="224">
        <f t="shared" si="15"/>
        <v>0</v>
      </c>
      <c r="N74" s="218"/>
      <c r="O74" s="572"/>
      <c r="P74" s="540"/>
      <c r="Q74" s="224"/>
      <c r="R74" s="218"/>
      <c r="S74" s="225">
        <v>0.22</v>
      </c>
      <c r="T74" s="224">
        <f t="shared" si="16"/>
        <v>0</v>
      </c>
      <c r="U74" s="218"/>
      <c r="V74" s="224">
        <f t="shared" si="17"/>
        <v>0</v>
      </c>
      <c r="W74" s="224">
        <f t="shared" si="18"/>
        <v>0</v>
      </c>
      <c r="X74" s="224">
        <f t="shared" si="19"/>
        <v>0</v>
      </c>
      <c r="Y74" s="224">
        <f t="shared" si="20"/>
        <v>0</v>
      </c>
      <c r="Z74" s="224">
        <f t="shared" si="21"/>
        <v>0</v>
      </c>
      <c r="AB74" s="227">
        <v>5</v>
      </c>
    </row>
    <row r="75" spans="1:28" ht="16.5" hidden="1" customHeight="1">
      <c r="A75" s="561" t="s">
        <v>142</v>
      </c>
      <c r="B75" s="2" t="s">
        <v>130</v>
      </c>
      <c r="C75" s="219">
        <v>0</v>
      </c>
      <c r="D75" s="219">
        <v>0</v>
      </c>
      <c r="E75" s="219">
        <v>0</v>
      </c>
      <c r="F75" s="219">
        <v>0</v>
      </c>
      <c r="G75" s="219">
        <v>0</v>
      </c>
      <c r="H75" s="219" t="s">
        <v>122</v>
      </c>
      <c r="I75" s="219">
        <f t="shared" si="11"/>
        <v>0</v>
      </c>
      <c r="J75" s="219">
        <f t="shared" si="22"/>
        <v>0</v>
      </c>
      <c r="K75" s="219">
        <f t="shared" si="13"/>
        <v>0</v>
      </c>
      <c r="L75" s="219">
        <f t="shared" si="14"/>
        <v>0</v>
      </c>
      <c r="M75" s="219">
        <f t="shared" si="15"/>
        <v>0</v>
      </c>
      <c r="N75" s="218"/>
      <c r="O75" s="571">
        <f>SUM(I75:I76)</f>
        <v>0</v>
      </c>
      <c r="P75" s="540"/>
      <c r="Q75" s="219"/>
      <c r="R75" s="218"/>
      <c r="S75" s="220">
        <v>0.22</v>
      </c>
      <c r="T75" s="219">
        <f t="shared" si="16"/>
        <v>0</v>
      </c>
      <c r="U75" s="218"/>
      <c r="V75" s="219">
        <f t="shared" si="17"/>
        <v>0</v>
      </c>
      <c r="W75" s="219">
        <f t="shared" si="18"/>
        <v>0</v>
      </c>
      <c r="X75" s="219">
        <f t="shared" si="19"/>
        <v>0</v>
      </c>
      <c r="Y75" s="219">
        <f t="shared" si="20"/>
        <v>0</v>
      </c>
      <c r="Z75" s="219">
        <f t="shared" si="21"/>
        <v>0</v>
      </c>
      <c r="AB75" s="221">
        <v>5</v>
      </c>
    </row>
    <row r="76" spans="1:28" ht="16.5" hidden="1" customHeight="1">
      <c r="A76" s="561"/>
      <c r="B76" s="2" t="s">
        <v>130</v>
      </c>
      <c r="C76" s="219">
        <v>0</v>
      </c>
      <c r="D76" s="219">
        <v>0</v>
      </c>
      <c r="E76" s="219">
        <v>0</v>
      </c>
      <c r="F76" s="219">
        <v>0</v>
      </c>
      <c r="G76" s="219">
        <v>0</v>
      </c>
      <c r="H76" s="219" t="s">
        <v>122</v>
      </c>
      <c r="I76" s="219">
        <f t="shared" si="11"/>
        <v>0</v>
      </c>
      <c r="J76" s="219">
        <f t="shared" si="22"/>
        <v>0</v>
      </c>
      <c r="K76" s="219">
        <f t="shared" si="13"/>
        <v>0</v>
      </c>
      <c r="L76" s="219">
        <f t="shared" si="14"/>
        <v>0</v>
      </c>
      <c r="M76" s="219">
        <f t="shared" si="15"/>
        <v>0</v>
      </c>
      <c r="N76" s="218"/>
      <c r="O76" s="568"/>
      <c r="P76" s="540"/>
      <c r="Q76" s="219"/>
      <c r="R76" s="218"/>
      <c r="S76" s="220">
        <v>0.22</v>
      </c>
      <c r="T76" s="219">
        <f t="shared" si="16"/>
        <v>0</v>
      </c>
      <c r="U76" s="218"/>
      <c r="V76" s="219">
        <f t="shared" si="17"/>
        <v>0</v>
      </c>
      <c r="W76" s="219">
        <f t="shared" si="18"/>
        <v>0</v>
      </c>
      <c r="X76" s="219">
        <f t="shared" si="19"/>
        <v>0</v>
      </c>
      <c r="Y76" s="219">
        <f t="shared" si="20"/>
        <v>0</v>
      </c>
      <c r="Z76" s="219">
        <f t="shared" si="21"/>
        <v>0</v>
      </c>
      <c r="AB76" s="221">
        <v>5</v>
      </c>
    </row>
    <row r="77" spans="1:28" ht="16.5" hidden="1" customHeight="1" thickBot="1">
      <c r="A77" s="563" t="s">
        <v>163</v>
      </c>
      <c r="B77" s="563"/>
      <c r="C77" s="236">
        <f>SUM(C40:C76)</f>
        <v>0</v>
      </c>
      <c r="D77" s="236">
        <f>SUM(D40:D76)</f>
        <v>0</v>
      </c>
      <c r="E77" s="236">
        <f>SUM(E40:E76)</f>
        <v>0</v>
      </c>
      <c r="F77" s="236">
        <f>SUM(F40:F76)</f>
        <v>0</v>
      </c>
      <c r="G77" s="236">
        <f>SUM(G40:G76)</f>
        <v>0</v>
      </c>
      <c r="H77" s="236" t="s">
        <v>26</v>
      </c>
      <c r="I77" s="236">
        <f>SUM(I40:I76)</f>
        <v>0</v>
      </c>
      <c r="J77" s="236">
        <f>SUM(J40:J76)</f>
        <v>0</v>
      </c>
      <c r="K77" s="236">
        <f>SUM(K40:K76)</f>
        <v>0</v>
      </c>
      <c r="L77" s="236">
        <f>SUM(L40:L76)</f>
        <v>0</v>
      </c>
      <c r="M77" s="236">
        <f>SUM(M40:M76)</f>
        <v>0</v>
      </c>
      <c r="N77" s="540"/>
      <c r="O77" s="236">
        <f>SUM(O40:O76)</f>
        <v>0</v>
      </c>
      <c r="P77" s="540"/>
      <c r="Q77" s="236" t="s">
        <v>26</v>
      </c>
      <c r="R77" s="540"/>
      <c r="S77" s="215" t="s">
        <v>26</v>
      </c>
      <c r="T77" s="236">
        <f>SUM(T40:T76)</f>
        <v>0</v>
      </c>
      <c r="U77" s="540"/>
      <c r="V77" s="236">
        <f>SUM(V48:V76)</f>
        <v>0</v>
      </c>
      <c r="W77" s="236">
        <f>SUM(W48:W76)</f>
        <v>0</v>
      </c>
      <c r="X77" s="236">
        <f>SUM(X48:X76)</f>
        <v>0</v>
      </c>
      <c r="Y77" s="236">
        <f>SUM(Y48:Y76)</f>
        <v>0</v>
      </c>
      <c r="Z77" s="236">
        <f>SUM(Z48:Z76)</f>
        <v>0</v>
      </c>
      <c r="AB77" s="237">
        <f>AVERAGE(AB40:AB76)</f>
        <v>7.0810810810810807</v>
      </c>
    </row>
    <row r="78" spans="1:28" ht="16.5" hidden="1" customHeight="1" thickTop="1">
      <c r="A78" s="548"/>
      <c r="B78" s="548"/>
      <c r="C78" s="540"/>
      <c r="D78" s="540"/>
      <c r="E78" s="540"/>
      <c r="F78" s="540"/>
      <c r="G78" s="540"/>
      <c r="H78" s="540"/>
      <c r="I78" s="540"/>
      <c r="J78" s="540"/>
      <c r="K78" s="540"/>
      <c r="L78" s="540"/>
      <c r="M78" s="540"/>
      <c r="N78" s="540"/>
      <c r="O78" s="540"/>
      <c r="P78" s="540"/>
      <c r="Q78" s="540"/>
      <c r="R78" s="540"/>
      <c r="S78" s="540"/>
      <c r="T78" s="540"/>
      <c r="U78" s="540"/>
      <c r="V78" s="540"/>
      <c r="W78" s="540"/>
      <c r="X78" s="540"/>
      <c r="Y78" s="540"/>
      <c r="Z78" s="540"/>
      <c r="AB78" s="239"/>
    </row>
    <row r="79" spans="1:28" ht="16.5" hidden="1" customHeight="1" thickBot="1">
      <c r="A79" s="563" t="s">
        <v>164</v>
      </c>
      <c r="B79" s="563"/>
      <c r="C79" s="563"/>
      <c r="D79" s="563"/>
      <c r="E79" s="563"/>
      <c r="F79" s="563"/>
      <c r="G79" s="563"/>
      <c r="H79" s="212"/>
      <c r="I79" s="563" t="s">
        <v>145</v>
      </c>
      <c r="J79" s="563"/>
      <c r="K79" s="563"/>
      <c r="L79" s="563"/>
      <c r="M79" s="563"/>
      <c r="N79" s="212"/>
      <c r="O79" s="213">
        <f>O39</f>
        <v>2025</v>
      </c>
      <c r="P79" s="214"/>
      <c r="Q79" s="213" t="str">
        <f>Q39</f>
        <v>CdC</v>
      </c>
      <c r="R79" s="212"/>
      <c r="S79" s="215" t="str">
        <f>S39</f>
        <v>VAT</v>
      </c>
      <c r="T79" s="213" t="str">
        <f>T39</f>
        <v>VAT €</v>
      </c>
      <c r="U79" s="212"/>
      <c r="V79" s="563" t="s">
        <v>146</v>
      </c>
      <c r="W79" s="563"/>
      <c r="X79" s="563"/>
      <c r="Y79" s="563"/>
      <c r="Z79" s="563"/>
      <c r="AB79" s="216"/>
    </row>
    <row r="80" spans="1:28" ht="16.5" hidden="1" customHeight="1" thickTop="1">
      <c r="A80" s="561" t="s">
        <v>165</v>
      </c>
      <c r="B80" s="2" t="s">
        <v>166</v>
      </c>
      <c r="C80" s="219">
        <v>0</v>
      </c>
      <c r="D80" s="219">
        <v>0</v>
      </c>
      <c r="E80" s="219">
        <v>0</v>
      </c>
      <c r="F80" s="219">
        <v>0</v>
      </c>
      <c r="G80" s="219">
        <v>0</v>
      </c>
      <c r="H80" s="218"/>
      <c r="I80" s="219" t="s">
        <v>26</v>
      </c>
      <c r="J80" s="219" t="s">
        <v>26</v>
      </c>
      <c r="K80" s="219" t="s">
        <v>26</v>
      </c>
      <c r="L80" s="219" t="s">
        <v>26</v>
      </c>
      <c r="M80" s="219" t="s">
        <v>26</v>
      </c>
      <c r="N80" s="218"/>
      <c r="O80" s="219" t="s">
        <v>26</v>
      </c>
      <c r="P80" s="219"/>
      <c r="Q80" s="219"/>
      <c r="R80" s="218"/>
      <c r="S80" s="220">
        <v>0</v>
      </c>
      <c r="T80" s="219">
        <f>C80*S80</f>
        <v>0</v>
      </c>
      <c r="U80" s="218"/>
      <c r="V80" s="219" t="s">
        <v>26</v>
      </c>
      <c r="W80" s="219" t="s">
        <v>26</v>
      </c>
      <c r="X80" s="219" t="s">
        <v>26</v>
      </c>
      <c r="Y80" s="219" t="s">
        <v>26</v>
      </c>
      <c r="Z80" s="219" t="s">
        <v>26</v>
      </c>
      <c r="AB80" s="219" t="s">
        <v>26</v>
      </c>
    </row>
    <row r="81" spans="1:28" ht="16.5" hidden="1" customHeight="1">
      <c r="A81" s="561"/>
      <c r="B81" s="2" t="s">
        <v>167</v>
      </c>
      <c r="C81" s="219">
        <v>0</v>
      </c>
      <c r="D81" s="219">
        <v>0</v>
      </c>
      <c r="E81" s="219">
        <v>0</v>
      </c>
      <c r="F81" s="219">
        <v>0</v>
      </c>
      <c r="G81" s="219">
        <v>0</v>
      </c>
      <c r="H81" s="218"/>
      <c r="I81" s="219" t="s">
        <v>26</v>
      </c>
      <c r="J81" s="219" t="s">
        <v>26</v>
      </c>
      <c r="K81" s="219" t="s">
        <v>26</v>
      </c>
      <c r="L81" s="219" t="s">
        <v>26</v>
      </c>
      <c r="M81" s="219" t="s">
        <v>26</v>
      </c>
      <c r="N81" s="218"/>
      <c r="O81" s="219" t="s">
        <v>26</v>
      </c>
      <c r="P81" s="219"/>
      <c r="Q81" s="219"/>
      <c r="R81" s="218"/>
      <c r="S81" s="220">
        <v>0</v>
      </c>
      <c r="T81" s="219">
        <f t="shared" ref="T81:T93" si="23">C81*S81</f>
        <v>0</v>
      </c>
      <c r="U81" s="218"/>
      <c r="V81" s="219" t="s">
        <v>26</v>
      </c>
      <c r="W81" s="219" t="s">
        <v>26</v>
      </c>
      <c r="X81" s="219" t="s">
        <v>26</v>
      </c>
      <c r="Y81" s="219" t="s">
        <v>26</v>
      </c>
      <c r="Z81" s="219" t="s">
        <v>26</v>
      </c>
      <c r="AB81" s="219" t="s">
        <v>26</v>
      </c>
    </row>
    <row r="82" spans="1:28" ht="16.5" hidden="1" customHeight="1">
      <c r="A82" s="561"/>
      <c r="B82" s="2" t="s">
        <v>168</v>
      </c>
      <c r="C82" s="219">
        <v>0</v>
      </c>
      <c r="D82" s="219">
        <v>0</v>
      </c>
      <c r="E82" s="219">
        <v>0</v>
      </c>
      <c r="F82" s="219">
        <v>0</v>
      </c>
      <c r="G82" s="219">
        <v>0</v>
      </c>
      <c r="H82" s="218"/>
      <c r="I82" s="219" t="s">
        <v>26</v>
      </c>
      <c r="J82" s="219" t="s">
        <v>26</v>
      </c>
      <c r="K82" s="219" t="s">
        <v>26</v>
      </c>
      <c r="L82" s="219" t="s">
        <v>26</v>
      </c>
      <c r="M82" s="219" t="s">
        <v>26</v>
      </c>
      <c r="N82" s="218"/>
      <c r="O82" s="219" t="s">
        <v>26</v>
      </c>
      <c r="P82" s="219"/>
      <c r="Q82" s="219"/>
      <c r="R82" s="218"/>
      <c r="S82" s="220">
        <v>0</v>
      </c>
      <c r="T82" s="219">
        <f t="shared" si="23"/>
        <v>0</v>
      </c>
      <c r="U82" s="218"/>
      <c r="V82" s="219" t="s">
        <v>26</v>
      </c>
      <c r="W82" s="219" t="s">
        <v>26</v>
      </c>
      <c r="X82" s="219" t="s">
        <v>26</v>
      </c>
      <c r="Y82" s="219" t="s">
        <v>26</v>
      </c>
      <c r="Z82" s="219" t="s">
        <v>26</v>
      </c>
      <c r="AB82" s="219" t="s">
        <v>26</v>
      </c>
    </row>
    <row r="83" spans="1:28" ht="16.5" hidden="1" customHeight="1">
      <c r="A83" s="562"/>
      <c r="B83" s="222" t="s">
        <v>169</v>
      </c>
      <c r="C83" s="224">
        <v>0</v>
      </c>
      <c r="D83" s="224">
        <v>0</v>
      </c>
      <c r="E83" s="224">
        <v>0</v>
      </c>
      <c r="F83" s="224">
        <v>0</v>
      </c>
      <c r="G83" s="224">
        <v>0</v>
      </c>
      <c r="H83" s="218"/>
      <c r="I83" s="224" t="s">
        <v>26</v>
      </c>
      <c r="J83" s="224" t="s">
        <v>26</v>
      </c>
      <c r="K83" s="224" t="s">
        <v>26</v>
      </c>
      <c r="L83" s="224" t="s">
        <v>26</v>
      </c>
      <c r="M83" s="224" t="s">
        <v>26</v>
      </c>
      <c r="N83" s="218"/>
      <c r="O83" s="219" t="s">
        <v>26</v>
      </c>
      <c r="P83" s="219"/>
      <c r="Q83" s="219"/>
      <c r="R83" s="218"/>
      <c r="S83" s="220">
        <v>0</v>
      </c>
      <c r="T83" s="219">
        <f t="shared" si="23"/>
        <v>0</v>
      </c>
      <c r="U83" s="218"/>
      <c r="V83" s="224" t="s">
        <v>26</v>
      </c>
      <c r="W83" s="224" t="s">
        <v>26</v>
      </c>
      <c r="X83" s="224" t="s">
        <v>26</v>
      </c>
      <c r="Y83" s="224" t="s">
        <v>26</v>
      </c>
      <c r="Z83" s="224" t="s">
        <v>26</v>
      </c>
      <c r="AB83" s="224" t="s">
        <v>26</v>
      </c>
    </row>
    <row r="84" spans="1:28" ht="16.5" hidden="1" customHeight="1">
      <c r="A84" s="561" t="s">
        <v>170</v>
      </c>
      <c r="B84" s="2" t="s">
        <v>166</v>
      </c>
      <c r="C84" s="219">
        <v>0</v>
      </c>
      <c r="D84" s="219">
        <v>0</v>
      </c>
      <c r="E84" s="219">
        <v>0</v>
      </c>
      <c r="F84" s="219">
        <v>0</v>
      </c>
      <c r="G84" s="219">
        <v>0</v>
      </c>
      <c r="H84" s="218"/>
      <c r="I84" s="219" t="s">
        <v>26</v>
      </c>
      <c r="J84" s="219" t="s">
        <v>26</v>
      </c>
      <c r="K84" s="219" t="s">
        <v>26</v>
      </c>
      <c r="L84" s="219" t="s">
        <v>26</v>
      </c>
      <c r="M84" s="219" t="s">
        <v>26</v>
      </c>
      <c r="N84" s="218"/>
      <c r="O84" s="241" t="s">
        <v>26</v>
      </c>
      <c r="P84" s="219"/>
      <c r="Q84" s="241"/>
      <c r="R84" s="218"/>
      <c r="S84" s="242">
        <v>0</v>
      </c>
      <c r="T84" s="241">
        <f t="shared" si="23"/>
        <v>0</v>
      </c>
      <c r="U84" s="218"/>
      <c r="V84" s="219" t="s">
        <v>26</v>
      </c>
      <c r="W84" s="219" t="s">
        <v>26</v>
      </c>
      <c r="X84" s="219" t="s">
        <v>26</v>
      </c>
      <c r="Y84" s="219" t="s">
        <v>26</v>
      </c>
      <c r="Z84" s="219" t="s">
        <v>26</v>
      </c>
      <c r="AB84" s="219" t="s">
        <v>26</v>
      </c>
    </row>
    <row r="85" spans="1:28" ht="16.5" hidden="1" customHeight="1">
      <c r="A85" s="561"/>
      <c r="B85" s="2" t="s">
        <v>167</v>
      </c>
      <c r="C85" s="219">
        <v>0</v>
      </c>
      <c r="D85" s="219">
        <v>0</v>
      </c>
      <c r="E85" s="219">
        <v>0</v>
      </c>
      <c r="F85" s="219">
        <v>0</v>
      </c>
      <c r="G85" s="219">
        <v>0</v>
      </c>
      <c r="H85" s="218"/>
      <c r="I85" s="219" t="s">
        <v>26</v>
      </c>
      <c r="J85" s="219" t="s">
        <v>26</v>
      </c>
      <c r="K85" s="219" t="s">
        <v>26</v>
      </c>
      <c r="L85" s="219" t="s">
        <v>26</v>
      </c>
      <c r="M85" s="219" t="s">
        <v>26</v>
      </c>
      <c r="N85" s="218"/>
      <c r="O85" s="219" t="s">
        <v>26</v>
      </c>
      <c r="P85" s="219"/>
      <c r="Q85" s="219"/>
      <c r="R85" s="218"/>
      <c r="S85" s="220">
        <v>0</v>
      </c>
      <c r="T85" s="219">
        <f t="shared" si="23"/>
        <v>0</v>
      </c>
      <c r="U85" s="218"/>
      <c r="V85" s="219" t="s">
        <v>26</v>
      </c>
      <c r="W85" s="219" t="s">
        <v>26</v>
      </c>
      <c r="X85" s="219" t="s">
        <v>26</v>
      </c>
      <c r="Y85" s="219" t="s">
        <v>26</v>
      </c>
      <c r="Z85" s="219" t="s">
        <v>26</v>
      </c>
      <c r="AB85" s="219" t="s">
        <v>26</v>
      </c>
    </row>
    <row r="86" spans="1:28" ht="16.5" hidden="1" customHeight="1">
      <c r="A86" s="561"/>
      <c r="B86" s="2" t="s">
        <v>168</v>
      </c>
      <c r="C86" s="219">
        <v>0</v>
      </c>
      <c r="D86" s="219">
        <v>0</v>
      </c>
      <c r="E86" s="219">
        <v>0</v>
      </c>
      <c r="F86" s="219">
        <v>0</v>
      </c>
      <c r="G86" s="219">
        <v>0</v>
      </c>
      <c r="H86" s="218"/>
      <c r="I86" s="219" t="s">
        <v>26</v>
      </c>
      <c r="J86" s="219" t="s">
        <v>26</v>
      </c>
      <c r="K86" s="219" t="s">
        <v>26</v>
      </c>
      <c r="L86" s="219" t="s">
        <v>26</v>
      </c>
      <c r="M86" s="219" t="s">
        <v>26</v>
      </c>
      <c r="N86" s="218"/>
      <c r="O86" s="219" t="s">
        <v>26</v>
      </c>
      <c r="P86" s="219"/>
      <c r="Q86" s="219"/>
      <c r="R86" s="218"/>
      <c r="S86" s="220">
        <v>0</v>
      </c>
      <c r="T86" s="219">
        <f t="shared" si="23"/>
        <v>0</v>
      </c>
      <c r="U86" s="218"/>
      <c r="V86" s="219" t="s">
        <v>26</v>
      </c>
      <c r="W86" s="219" t="s">
        <v>26</v>
      </c>
      <c r="X86" s="219" t="s">
        <v>26</v>
      </c>
      <c r="Y86" s="219" t="s">
        <v>26</v>
      </c>
      <c r="Z86" s="219" t="s">
        <v>26</v>
      </c>
      <c r="AB86" s="219" t="s">
        <v>26</v>
      </c>
    </row>
    <row r="87" spans="1:28" ht="16.5" hidden="1" customHeight="1">
      <c r="A87" s="562"/>
      <c r="B87" s="222" t="s">
        <v>169</v>
      </c>
      <c r="C87" s="224">
        <v>0</v>
      </c>
      <c r="D87" s="224">
        <v>0</v>
      </c>
      <c r="E87" s="224">
        <v>0</v>
      </c>
      <c r="F87" s="224">
        <v>0</v>
      </c>
      <c r="G87" s="224">
        <v>0</v>
      </c>
      <c r="H87" s="218"/>
      <c r="I87" s="224" t="s">
        <v>26</v>
      </c>
      <c r="J87" s="224" t="s">
        <v>26</v>
      </c>
      <c r="K87" s="224" t="s">
        <v>26</v>
      </c>
      <c r="L87" s="224" t="s">
        <v>26</v>
      </c>
      <c r="M87" s="224" t="s">
        <v>26</v>
      </c>
      <c r="N87" s="218"/>
      <c r="O87" s="224" t="s">
        <v>26</v>
      </c>
      <c r="P87" s="219"/>
      <c r="Q87" s="224"/>
      <c r="R87" s="218"/>
      <c r="S87" s="225">
        <v>0</v>
      </c>
      <c r="T87" s="224">
        <f t="shared" si="23"/>
        <v>0</v>
      </c>
      <c r="U87" s="218"/>
      <c r="V87" s="224" t="s">
        <v>26</v>
      </c>
      <c r="W87" s="224" t="s">
        <v>26</v>
      </c>
      <c r="X87" s="224" t="s">
        <v>26</v>
      </c>
      <c r="Y87" s="224" t="s">
        <v>26</v>
      </c>
      <c r="Z87" s="224" t="s">
        <v>26</v>
      </c>
      <c r="AB87" s="224" t="s">
        <v>26</v>
      </c>
    </row>
    <row r="88" spans="1:28" ht="16.5" hidden="1" customHeight="1">
      <c r="A88" s="561" t="s">
        <v>169</v>
      </c>
      <c r="B88" s="2" t="s">
        <v>130</v>
      </c>
      <c r="C88" s="219">
        <v>0</v>
      </c>
      <c r="D88" s="219">
        <v>0</v>
      </c>
      <c r="E88" s="219">
        <v>0</v>
      </c>
      <c r="F88" s="219">
        <v>0</v>
      </c>
      <c r="G88" s="219">
        <v>0</v>
      </c>
      <c r="H88" s="218"/>
      <c r="I88" s="219" t="s">
        <v>26</v>
      </c>
      <c r="J88" s="219" t="s">
        <v>26</v>
      </c>
      <c r="K88" s="219" t="s">
        <v>26</v>
      </c>
      <c r="L88" s="219" t="s">
        <v>26</v>
      </c>
      <c r="M88" s="219" t="s">
        <v>26</v>
      </c>
      <c r="N88" s="218"/>
      <c r="O88" s="219" t="s">
        <v>26</v>
      </c>
      <c r="P88" s="219"/>
      <c r="Q88" s="219"/>
      <c r="R88" s="218"/>
      <c r="S88" s="220">
        <v>0</v>
      </c>
      <c r="T88" s="219">
        <f t="shared" si="23"/>
        <v>0</v>
      </c>
      <c r="U88" s="218"/>
      <c r="V88" s="219" t="s">
        <v>26</v>
      </c>
      <c r="W88" s="219" t="s">
        <v>26</v>
      </c>
      <c r="X88" s="219" t="s">
        <v>26</v>
      </c>
      <c r="Y88" s="219" t="s">
        <v>26</v>
      </c>
      <c r="Z88" s="219" t="s">
        <v>26</v>
      </c>
      <c r="AB88" s="219" t="s">
        <v>26</v>
      </c>
    </row>
    <row r="89" spans="1:28" ht="16.5" hidden="1" customHeight="1">
      <c r="A89" s="561"/>
      <c r="B89" s="2" t="s">
        <v>130</v>
      </c>
      <c r="C89" s="219">
        <v>0</v>
      </c>
      <c r="D89" s="219">
        <v>0</v>
      </c>
      <c r="E89" s="219">
        <v>0</v>
      </c>
      <c r="F89" s="219">
        <v>0</v>
      </c>
      <c r="G89" s="219">
        <v>0</v>
      </c>
      <c r="H89" s="218"/>
      <c r="I89" s="219" t="s">
        <v>26</v>
      </c>
      <c r="J89" s="219" t="s">
        <v>26</v>
      </c>
      <c r="K89" s="219" t="s">
        <v>26</v>
      </c>
      <c r="L89" s="219" t="s">
        <v>26</v>
      </c>
      <c r="M89" s="219" t="s">
        <v>26</v>
      </c>
      <c r="N89" s="218"/>
      <c r="O89" s="219" t="s">
        <v>26</v>
      </c>
      <c r="P89" s="219"/>
      <c r="Q89" s="219"/>
      <c r="R89" s="218"/>
      <c r="S89" s="220">
        <v>0</v>
      </c>
      <c r="T89" s="219">
        <f t="shared" si="23"/>
        <v>0</v>
      </c>
      <c r="U89" s="218"/>
      <c r="V89" s="219" t="s">
        <v>26</v>
      </c>
      <c r="W89" s="219" t="s">
        <v>26</v>
      </c>
      <c r="X89" s="219" t="s">
        <v>26</v>
      </c>
      <c r="Y89" s="219" t="s">
        <v>26</v>
      </c>
      <c r="Z89" s="219" t="s">
        <v>26</v>
      </c>
      <c r="AB89" s="219" t="s">
        <v>26</v>
      </c>
    </row>
    <row r="90" spans="1:28" ht="16.5" hidden="1" customHeight="1">
      <c r="A90" s="561"/>
      <c r="B90" s="2" t="s">
        <v>130</v>
      </c>
      <c r="C90" s="219">
        <v>0</v>
      </c>
      <c r="D90" s="219">
        <v>0</v>
      </c>
      <c r="E90" s="219">
        <v>0</v>
      </c>
      <c r="F90" s="219">
        <v>0</v>
      </c>
      <c r="G90" s="219">
        <v>0</v>
      </c>
      <c r="H90" s="218"/>
      <c r="I90" s="219" t="s">
        <v>26</v>
      </c>
      <c r="J90" s="219" t="s">
        <v>26</v>
      </c>
      <c r="K90" s="219" t="s">
        <v>26</v>
      </c>
      <c r="L90" s="219" t="s">
        <v>26</v>
      </c>
      <c r="M90" s="219" t="s">
        <v>26</v>
      </c>
      <c r="N90" s="218"/>
      <c r="O90" s="219" t="s">
        <v>26</v>
      </c>
      <c r="P90" s="219"/>
      <c r="Q90" s="219"/>
      <c r="R90" s="218"/>
      <c r="S90" s="220">
        <v>0</v>
      </c>
      <c r="T90" s="219">
        <f t="shared" si="23"/>
        <v>0</v>
      </c>
      <c r="U90" s="218"/>
      <c r="V90" s="219" t="s">
        <v>26</v>
      </c>
      <c r="W90" s="219" t="s">
        <v>26</v>
      </c>
      <c r="X90" s="219" t="s">
        <v>26</v>
      </c>
      <c r="Y90" s="219" t="s">
        <v>26</v>
      </c>
      <c r="Z90" s="219" t="s">
        <v>26</v>
      </c>
      <c r="AB90" s="219" t="s">
        <v>26</v>
      </c>
    </row>
    <row r="91" spans="1:28" ht="16.5" hidden="1" customHeight="1">
      <c r="A91" s="562"/>
      <c r="B91" s="222" t="s">
        <v>130</v>
      </c>
      <c r="C91" s="224">
        <v>0</v>
      </c>
      <c r="D91" s="224">
        <v>0</v>
      </c>
      <c r="E91" s="224">
        <v>0</v>
      </c>
      <c r="F91" s="224">
        <v>0</v>
      </c>
      <c r="G91" s="224">
        <v>0</v>
      </c>
      <c r="H91" s="218"/>
      <c r="I91" s="224" t="s">
        <v>26</v>
      </c>
      <c r="J91" s="224" t="s">
        <v>26</v>
      </c>
      <c r="K91" s="224" t="s">
        <v>26</v>
      </c>
      <c r="L91" s="224" t="s">
        <v>26</v>
      </c>
      <c r="M91" s="224" t="s">
        <v>26</v>
      </c>
      <c r="N91" s="218"/>
      <c r="O91" s="224" t="s">
        <v>26</v>
      </c>
      <c r="P91" s="219"/>
      <c r="Q91" s="224"/>
      <c r="R91" s="218"/>
      <c r="S91" s="225">
        <v>0</v>
      </c>
      <c r="T91" s="224">
        <f t="shared" si="23"/>
        <v>0</v>
      </c>
      <c r="U91" s="218"/>
      <c r="V91" s="224" t="s">
        <v>26</v>
      </c>
      <c r="W91" s="224" t="s">
        <v>26</v>
      </c>
      <c r="X91" s="224" t="s">
        <v>26</v>
      </c>
      <c r="Y91" s="224" t="s">
        <v>26</v>
      </c>
      <c r="Z91" s="224" t="s">
        <v>26</v>
      </c>
      <c r="AB91" s="224" t="s">
        <v>26</v>
      </c>
    </row>
    <row r="92" spans="1:28" ht="16.5" hidden="1" customHeight="1">
      <c r="A92" s="561" t="s">
        <v>171</v>
      </c>
      <c r="B92" s="2" t="s">
        <v>172</v>
      </c>
      <c r="C92" s="219">
        <v>0</v>
      </c>
      <c r="D92" s="219">
        <v>0</v>
      </c>
      <c r="E92" s="219">
        <v>0</v>
      </c>
      <c r="F92" s="219">
        <v>0</v>
      </c>
      <c r="G92" s="219">
        <v>0</v>
      </c>
      <c r="H92" s="218"/>
      <c r="I92" s="219" t="s">
        <v>26</v>
      </c>
      <c r="J92" s="219" t="s">
        <v>26</v>
      </c>
      <c r="K92" s="219" t="s">
        <v>26</v>
      </c>
      <c r="L92" s="219" t="s">
        <v>26</v>
      </c>
      <c r="M92" s="219" t="s">
        <v>26</v>
      </c>
      <c r="N92" s="218"/>
      <c r="O92" s="219" t="s">
        <v>26</v>
      </c>
      <c r="P92" s="219"/>
      <c r="Q92" s="219"/>
      <c r="R92" s="218"/>
      <c r="S92" s="220">
        <v>0</v>
      </c>
      <c r="T92" s="219">
        <f t="shared" si="23"/>
        <v>0</v>
      </c>
      <c r="U92" s="218"/>
      <c r="V92" s="219" t="s">
        <v>26</v>
      </c>
      <c r="W92" s="219" t="s">
        <v>26</v>
      </c>
      <c r="X92" s="219" t="s">
        <v>26</v>
      </c>
      <c r="Y92" s="219" t="s">
        <v>26</v>
      </c>
      <c r="Z92" s="219" t="s">
        <v>26</v>
      </c>
      <c r="AB92" s="219" t="s">
        <v>26</v>
      </c>
    </row>
    <row r="93" spans="1:28" ht="16.5" hidden="1" customHeight="1">
      <c r="A93" s="561"/>
      <c r="B93" s="2" t="s">
        <v>173</v>
      </c>
      <c r="C93" s="219">
        <v>0</v>
      </c>
      <c r="D93" s="219">
        <v>0</v>
      </c>
      <c r="E93" s="219">
        <v>0</v>
      </c>
      <c r="F93" s="219">
        <v>0</v>
      </c>
      <c r="G93" s="219">
        <v>0</v>
      </c>
      <c r="H93" s="218"/>
      <c r="I93" s="219" t="s">
        <v>26</v>
      </c>
      <c r="J93" s="219" t="s">
        <v>26</v>
      </c>
      <c r="K93" s="219" t="s">
        <v>26</v>
      </c>
      <c r="L93" s="219" t="s">
        <v>26</v>
      </c>
      <c r="M93" s="219" t="s">
        <v>26</v>
      </c>
      <c r="N93" s="218"/>
      <c r="O93" s="219" t="s">
        <v>26</v>
      </c>
      <c r="P93" s="219"/>
      <c r="Q93" s="219"/>
      <c r="R93" s="218"/>
      <c r="S93" s="220">
        <v>0</v>
      </c>
      <c r="T93" s="219">
        <f t="shared" si="23"/>
        <v>0</v>
      </c>
      <c r="U93" s="218"/>
      <c r="V93" s="219" t="s">
        <v>26</v>
      </c>
      <c r="W93" s="219" t="s">
        <v>26</v>
      </c>
      <c r="X93" s="219" t="s">
        <v>26</v>
      </c>
      <c r="Y93" s="219" t="s">
        <v>26</v>
      </c>
      <c r="Z93" s="219" t="s">
        <v>26</v>
      </c>
      <c r="AB93" s="219" t="s">
        <v>26</v>
      </c>
    </row>
    <row r="94" spans="1:28" ht="16.5" hidden="1" customHeight="1" thickBot="1">
      <c r="A94" s="563" t="s">
        <v>174</v>
      </c>
      <c r="B94" s="563"/>
      <c r="C94" s="236">
        <f>SUM(C80:C93)</f>
        <v>0</v>
      </c>
      <c r="D94" s="236">
        <f>SUM(D80:D93)</f>
        <v>0</v>
      </c>
      <c r="E94" s="236">
        <f>SUM(E80:E93)</f>
        <v>0</v>
      </c>
      <c r="F94" s="236">
        <f>SUM(F80:F93)</f>
        <v>0</v>
      </c>
      <c r="G94" s="236">
        <f>SUM(G80:G93)</f>
        <v>0</v>
      </c>
      <c r="H94" s="540"/>
      <c r="I94" s="236" t="s">
        <v>26</v>
      </c>
      <c r="J94" s="236" t="s">
        <v>26</v>
      </c>
      <c r="K94" s="236" t="s">
        <v>26</v>
      </c>
      <c r="L94" s="236" t="s">
        <v>26</v>
      </c>
      <c r="M94" s="236" t="s">
        <v>26</v>
      </c>
      <c r="N94" s="540"/>
      <c r="O94" s="236" t="s">
        <v>26</v>
      </c>
      <c r="P94" s="540"/>
      <c r="Q94" s="236"/>
      <c r="R94" s="540"/>
      <c r="S94" s="215" t="s">
        <v>26</v>
      </c>
      <c r="T94" s="236">
        <f>SUM(T80:T93)</f>
        <v>0</v>
      </c>
      <c r="U94" s="540"/>
      <c r="V94" s="236" t="s">
        <v>26</v>
      </c>
      <c r="W94" s="236" t="s">
        <v>26</v>
      </c>
      <c r="X94" s="236" t="s">
        <v>26</v>
      </c>
      <c r="Y94" s="236" t="s">
        <v>26</v>
      </c>
      <c r="Z94" s="236" t="s">
        <v>26</v>
      </c>
      <c r="AB94" s="236" t="s">
        <v>26</v>
      </c>
    </row>
    <row r="95" spans="1:28" ht="16.5" customHeight="1">
      <c r="S95" s="243"/>
      <c r="AB95" s="244"/>
    </row>
    <row r="96" spans="1:28" ht="16.5" customHeight="1">
      <c r="A96" s="245" t="s">
        <v>175</v>
      </c>
      <c r="B96" s="245"/>
      <c r="C96" s="246">
        <f>C94+C77+C37</f>
        <v>250498.8</v>
      </c>
      <c r="D96" s="246">
        <f>D94+D77+D37</f>
        <v>0</v>
      </c>
      <c r="E96" s="246">
        <f>E94+E77+E37</f>
        <v>0</v>
      </c>
      <c r="F96" s="246">
        <f>F94+F77+F37</f>
        <v>0</v>
      </c>
      <c r="G96" s="246">
        <f>G94+G77+G37</f>
        <v>0</v>
      </c>
      <c r="H96" s="247"/>
      <c r="I96" s="246">
        <f>I37+I77</f>
        <v>35785.542857142857</v>
      </c>
      <c r="J96" s="246">
        <f>J37+J77</f>
        <v>35785.542857142857</v>
      </c>
      <c r="K96" s="246">
        <f>K37+K77</f>
        <v>35785.542857142857</v>
      </c>
      <c r="L96" s="246">
        <f>L37+L77</f>
        <v>35785.542857142857</v>
      </c>
      <c r="M96" s="246">
        <f>M37+M77</f>
        <v>35785.542857142857</v>
      </c>
      <c r="N96" s="247"/>
      <c r="O96" s="246">
        <f>O37+O77</f>
        <v>35785.542857142857</v>
      </c>
      <c r="P96" s="248"/>
      <c r="Q96" s="249" t="s">
        <v>26</v>
      </c>
      <c r="R96" s="248"/>
      <c r="S96" s="250" t="s">
        <v>26</v>
      </c>
      <c r="T96" s="249">
        <f>T37+T77</f>
        <v>55109.735999999997</v>
      </c>
      <c r="U96" s="248"/>
      <c r="V96" s="249">
        <f>V77+V37</f>
        <v>214713.25714285712</v>
      </c>
      <c r="W96" s="249">
        <f>W77+W37</f>
        <v>178927.71428571426</v>
      </c>
      <c r="X96" s="249">
        <f>X77+X37</f>
        <v>143142.1714285714</v>
      </c>
      <c r="Y96" s="249">
        <f>Y77+Y37</f>
        <v>107356.62857142853</v>
      </c>
      <c r="Z96" s="249">
        <f>Z77+Z37</f>
        <v>71571.085714285669</v>
      </c>
      <c r="AB96" s="251">
        <f>AVERAGE(AB37,AB77)</f>
        <v>6.5577819198508855</v>
      </c>
    </row>
    <row r="97" spans="1:28" ht="16.5" customHeight="1"/>
    <row r="98" spans="1:28" ht="16.5" customHeight="1">
      <c r="A98" s="566"/>
      <c r="B98" s="566"/>
      <c r="C98" s="564">
        <f>C5</f>
        <v>2025</v>
      </c>
      <c r="D98" s="566"/>
      <c r="E98" s="564">
        <f>D5</f>
        <v>2026</v>
      </c>
      <c r="F98" s="564"/>
      <c r="G98" s="565">
        <f>E5</f>
        <v>2027</v>
      </c>
      <c r="H98" s="565"/>
      <c r="I98" s="565"/>
      <c r="J98" s="564">
        <f>F5</f>
        <v>2028</v>
      </c>
      <c r="K98" s="564"/>
      <c r="L98" s="564">
        <f>G5</f>
        <v>2029</v>
      </c>
      <c r="M98" s="564"/>
      <c r="N98" s="252"/>
      <c r="O98" s="578" t="s">
        <v>176</v>
      </c>
      <c r="P98" s="578"/>
      <c r="Q98" s="578"/>
      <c r="R98" s="578"/>
      <c r="S98" s="578"/>
      <c r="T98" s="578"/>
      <c r="U98" s="543"/>
      <c r="V98" s="566" t="s">
        <v>177</v>
      </c>
      <c r="W98" s="566"/>
      <c r="X98" s="252"/>
      <c r="Y98" s="252"/>
      <c r="Z98" s="252"/>
      <c r="AA98" s="252"/>
      <c r="AB98" s="252"/>
    </row>
    <row r="99" spans="1:28" ht="16.5" customHeight="1">
      <c r="A99" s="566" t="s">
        <v>177</v>
      </c>
      <c r="B99" s="566"/>
      <c r="C99" s="537" t="s">
        <v>83</v>
      </c>
      <c r="D99" s="253" t="s">
        <v>178</v>
      </c>
      <c r="E99" s="537" t="s">
        <v>83</v>
      </c>
      <c r="F99" s="253" t="s">
        <v>178</v>
      </c>
      <c r="G99" s="566" t="s">
        <v>179</v>
      </c>
      <c r="H99" s="566"/>
      <c r="I99" s="253" t="s">
        <v>178</v>
      </c>
      <c r="J99" s="537" t="s">
        <v>83</v>
      </c>
      <c r="K99" s="253" t="s">
        <v>178</v>
      </c>
      <c r="L99" s="537" t="s">
        <v>83</v>
      </c>
      <c r="M99" s="253" t="s">
        <v>178</v>
      </c>
      <c r="N99" s="252"/>
      <c r="O99" s="578"/>
      <c r="P99" s="578"/>
      <c r="Q99" s="578"/>
      <c r="R99" s="578"/>
      <c r="S99" s="578"/>
      <c r="T99" s="578"/>
      <c r="U99" s="543"/>
      <c r="V99" s="254"/>
      <c r="W99" s="255"/>
      <c r="X99" s="255"/>
      <c r="Y99" s="255"/>
      <c r="Z99" s="255"/>
      <c r="AA99" s="255"/>
      <c r="AB99" s="255"/>
    </row>
    <row r="100" spans="1:28" ht="16.5" customHeight="1">
      <c r="A100" s="561" t="s">
        <v>180</v>
      </c>
      <c r="B100" s="561"/>
      <c r="C100" s="256">
        <v>1</v>
      </c>
      <c r="D100" s="152">
        <f t="shared" ref="D100:D109" si="24">$C$96*C100</f>
        <v>250498.8</v>
      </c>
      <c r="E100" s="545">
        <v>1</v>
      </c>
      <c r="F100" s="152">
        <f>$D$96*E100</f>
        <v>0</v>
      </c>
      <c r="G100" s="575">
        <v>1</v>
      </c>
      <c r="H100" s="575"/>
      <c r="I100" s="152">
        <f>$E$96*G100</f>
        <v>0</v>
      </c>
      <c r="J100" s="545">
        <v>1</v>
      </c>
      <c r="K100" s="152">
        <f>$F$96*J100</f>
        <v>0</v>
      </c>
      <c r="L100" s="545">
        <v>1</v>
      </c>
      <c r="M100" s="152">
        <f>$G$96*L100</f>
        <v>0</v>
      </c>
      <c r="O100" s="577">
        <f>M100+K100+I100+F100+D100</f>
        <v>250498.8</v>
      </c>
      <c r="P100" s="577"/>
      <c r="Q100" s="577"/>
      <c r="R100" s="577"/>
      <c r="S100" s="577"/>
      <c r="T100" s="577"/>
      <c r="U100" s="257"/>
      <c r="V100" s="255"/>
      <c r="W100" s="255"/>
      <c r="X100" s="255"/>
      <c r="Y100" s="255"/>
      <c r="Z100" s="255"/>
      <c r="AA100" s="255"/>
      <c r="AB100" s="255"/>
    </row>
    <row r="101" spans="1:28" ht="16.5" customHeight="1">
      <c r="A101" s="561" t="s">
        <v>181</v>
      </c>
      <c r="B101" s="561"/>
      <c r="C101" s="256">
        <v>0</v>
      </c>
      <c r="D101" s="152">
        <f t="shared" si="24"/>
        <v>0</v>
      </c>
      <c r="E101" s="545">
        <v>0</v>
      </c>
      <c r="F101" s="152">
        <f t="shared" ref="F101:F109" si="25">$D$96*E101</f>
        <v>0</v>
      </c>
      <c r="G101" s="575">
        <v>0</v>
      </c>
      <c r="H101" s="575"/>
      <c r="I101" s="152">
        <f t="shared" ref="I101:I109" si="26">$E$96*G101</f>
        <v>0</v>
      </c>
      <c r="J101" s="545">
        <v>0</v>
      </c>
      <c r="K101" s="152">
        <f t="shared" ref="K101:K108" si="27">$F$96*J101</f>
        <v>0</v>
      </c>
      <c r="L101" s="545">
        <v>0</v>
      </c>
      <c r="M101" s="152">
        <f t="shared" ref="M101:M108" si="28">$G$96*L101</f>
        <v>0</v>
      </c>
      <c r="O101" s="577">
        <f t="shared" ref="O101:O109" si="29">M101+K101+I101+F101+D101</f>
        <v>0</v>
      </c>
      <c r="P101" s="577"/>
      <c r="Q101" s="577"/>
      <c r="R101" s="577"/>
      <c r="S101" s="577"/>
      <c r="T101" s="577"/>
      <c r="U101" s="257"/>
      <c r="V101" s="255"/>
      <c r="W101" s="255"/>
      <c r="X101" s="255"/>
      <c r="Y101" s="255"/>
      <c r="Z101" s="255"/>
      <c r="AA101" s="255"/>
      <c r="AB101" s="255"/>
    </row>
    <row r="102" spans="1:28" ht="16.5" customHeight="1">
      <c r="A102" s="561" t="s">
        <v>182</v>
      </c>
      <c r="B102" s="561"/>
      <c r="C102" s="256">
        <v>0</v>
      </c>
      <c r="D102" s="152">
        <f>$C$96*C102</f>
        <v>0</v>
      </c>
      <c r="E102" s="545">
        <v>0</v>
      </c>
      <c r="F102" s="152">
        <f t="shared" si="25"/>
        <v>0</v>
      </c>
      <c r="G102" s="575">
        <v>0</v>
      </c>
      <c r="H102" s="575"/>
      <c r="I102" s="152">
        <f t="shared" si="26"/>
        <v>0</v>
      </c>
      <c r="J102" s="545">
        <v>0</v>
      </c>
      <c r="K102" s="152">
        <f t="shared" si="27"/>
        <v>0</v>
      </c>
      <c r="L102" s="545">
        <v>0</v>
      </c>
      <c r="M102" s="152">
        <f t="shared" si="28"/>
        <v>0</v>
      </c>
      <c r="O102" s="577">
        <f t="shared" si="29"/>
        <v>0</v>
      </c>
      <c r="P102" s="577"/>
      <c r="Q102" s="577"/>
      <c r="R102" s="577"/>
      <c r="S102" s="577"/>
      <c r="T102" s="577"/>
      <c r="U102" s="257"/>
      <c r="V102" s="255"/>
      <c r="W102" s="255"/>
      <c r="X102" s="255"/>
      <c r="Y102" s="255"/>
      <c r="Z102" s="255"/>
      <c r="AA102" s="255"/>
      <c r="AB102" s="255"/>
    </row>
    <row r="103" spans="1:28" ht="16.5" customHeight="1">
      <c r="A103" s="561" t="s">
        <v>183</v>
      </c>
      <c r="B103" s="561"/>
      <c r="C103" s="256">
        <v>0</v>
      </c>
      <c r="D103" s="152">
        <f>$C$96*C103</f>
        <v>0</v>
      </c>
      <c r="E103" s="545">
        <v>0</v>
      </c>
      <c r="F103" s="152">
        <f t="shared" si="25"/>
        <v>0</v>
      </c>
      <c r="G103" s="575">
        <v>0</v>
      </c>
      <c r="H103" s="575"/>
      <c r="I103" s="152">
        <f t="shared" si="26"/>
        <v>0</v>
      </c>
      <c r="J103" s="545">
        <v>0</v>
      </c>
      <c r="K103" s="152">
        <f t="shared" si="27"/>
        <v>0</v>
      </c>
      <c r="L103" s="545">
        <v>0</v>
      </c>
      <c r="M103" s="152">
        <f t="shared" si="28"/>
        <v>0</v>
      </c>
      <c r="O103" s="577">
        <f t="shared" si="29"/>
        <v>0</v>
      </c>
      <c r="P103" s="577"/>
      <c r="Q103" s="577"/>
      <c r="R103" s="577"/>
      <c r="S103" s="577"/>
      <c r="T103" s="577"/>
      <c r="U103" s="257"/>
      <c r="V103" s="255"/>
      <c r="W103" s="255"/>
      <c r="X103" s="255"/>
      <c r="Y103" s="255"/>
      <c r="Z103" s="255"/>
      <c r="AA103" s="255"/>
      <c r="AB103" s="255"/>
    </row>
    <row r="104" spans="1:28" ht="16.5" customHeight="1">
      <c r="A104" s="561" t="s">
        <v>184</v>
      </c>
      <c r="B104" s="561"/>
      <c r="C104" s="256">
        <v>0</v>
      </c>
      <c r="D104" s="152">
        <f>$C$96*C104</f>
        <v>0</v>
      </c>
      <c r="E104" s="545">
        <v>0</v>
      </c>
      <c r="F104" s="152">
        <f t="shared" si="25"/>
        <v>0</v>
      </c>
      <c r="G104" s="575">
        <v>0</v>
      </c>
      <c r="H104" s="575"/>
      <c r="I104" s="152">
        <f t="shared" si="26"/>
        <v>0</v>
      </c>
      <c r="J104" s="545">
        <v>0</v>
      </c>
      <c r="K104" s="152">
        <f t="shared" si="27"/>
        <v>0</v>
      </c>
      <c r="L104" s="545">
        <v>0</v>
      </c>
      <c r="M104" s="152">
        <f t="shared" si="28"/>
        <v>0</v>
      </c>
      <c r="O104" s="577">
        <f t="shared" si="29"/>
        <v>0</v>
      </c>
      <c r="P104" s="577"/>
      <c r="Q104" s="577"/>
      <c r="R104" s="577"/>
      <c r="S104" s="577"/>
      <c r="T104" s="577"/>
      <c r="U104" s="257"/>
      <c r="V104" s="255"/>
      <c r="W104" s="255"/>
      <c r="X104" s="255"/>
      <c r="Y104" s="255"/>
      <c r="Z104" s="255"/>
      <c r="AA104" s="255"/>
      <c r="AB104" s="255"/>
    </row>
    <row r="105" spans="1:28" ht="16.5" customHeight="1">
      <c r="A105" s="561" t="s">
        <v>124</v>
      </c>
      <c r="B105" s="561"/>
      <c r="C105" s="256">
        <v>0</v>
      </c>
      <c r="D105" s="152">
        <f t="shared" si="24"/>
        <v>0</v>
      </c>
      <c r="E105" s="545">
        <v>0</v>
      </c>
      <c r="F105" s="152">
        <f>$D$96*E105</f>
        <v>0</v>
      </c>
      <c r="G105" s="575">
        <v>0</v>
      </c>
      <c r="H105" s="575"/>
      <c r="I105" s="152">
        <f>$E$96*G105</f>
        <v>0</v>
      </c>
      <c r="J105" s="545">
        <v>0</v>
      </c>
      <c r="K105" s="152">
        <f t="shared" si="27"/>
        <v>0</v>
      </c>
      <c r="L105" s="545">
        <v>0</v>
      </c>
      <c r="M105" s="152">
        <f t="shared" si="28"/>
        <v>0</v>
      </c>
      <c r="O105" s="577">
        <f t="shared" si="29"/>
        <v>0</v>
      </c>
      <c r="P105" s="577"/>
      <c r="Q105" s="577"/>
      <c r="R105" s="577"/>
      <c r="S105" s="577"/>
      <c r="T105" s="577"/>
      <c r="U105" s="257"/>
      <c r="V105" s="255"/>
      <c r="W105" s="255"/>
      <c r="X105" s="255"/>
      <c r="Y105" s="255"/>
      <c r="Z105" s="255"/>
      <c r="AA105" s="255"/>
      <c r="AB105" s="255"/>
    </row>
    <row r="106" spans="1:28" ht="16.5" customHeight="1">
      <c r="A106" s="561" t="s">
        <v>124</v>
      </c>
      <c r="B106" s="561"/>
      <c r="C106" s="256">
        <v>0</v>
      </c>
      <c r="D106" s="152">
        <f t="shared" si="24"/>
        <v>0</v>
      </c>
      <c r="E106" s="545">
        <v>0</v>
      </c>
      <c r="F106" s="152">
        <f t="shared" si="25"/>
        <v>0</v>
      </c>
      <c r="G106" s="575">
        <v>0</v>
      </c>
      <c r="H106" s="575"/>
      <c r="I106" s="152">
        <f t="shared" si="26"/>
        <v>0</v>
      </c>
      <c r="J106" s="545">
        <v>0</v>
      </c>
      <c r="K106" s="152">
        <f t="shared" si="27"/>
        <v>0</v>
      </c>
      <c r="L106" s="545">
        <v>0</v>
      </c>
      <c r="M106" s="152">
        <f t="shared" si="28"/>
        <v>0</v>
      </c>
      <c r="O106" s="577">
        <f t="shared" si="29"/>
        <v>0</v>
      </c>
      <c r="P106" s="577"/>
      <c r="Q106" s="577"/>
      <c r="R106" s="577"/>
      <c r="S106" s="577"/>
      <c r="T106" s="577"/>
      <c r="U106" s="257"/>
      <c r="V106" s="255"/>
      <c r="W106" s="255"/>
      <c r="X106" s="255"/>
      <c r="Y106" s="255"/>
      <c r="Z106" s="255"/>
      <c r="AA106" s="255"/>
      <c r="AB106" s="255"/>
    </row>
    <row r="107" spans="1:28" ht="16.5" customHeight="1">
      <c r="A107" s="561" t="s">
        <v>124</v>
      </c>
      <c r="B107" s="561"/>
      <c r="C107" s="256">
        <v>0</v>
      </c>
      <c r="D107" s="152">
        <f t="shared" si="24"/>
        <v>0</v>
      </c>
      <c r="E107" s="545">
        <v>0</v>
      </c>
      <c r="F107" s="152">
        <f t="shared" si="25"/>
        <v>0</v>
      </c>
      <c r="G107" s="575">
        <v>0</v>
      </c>
      <c r="H107" s="575"/>
      <c r="I107" s="152">
        <f>$E$96*G107</f>
        <v>0</v>
      </c>
      <c r="J107" s="545">
        <v>0</v>
      </c>
      <c r="K107" s="152">
        <f t="shared" si="27"/>
        <v>0</v>
      </c>
      <c r="L107" s="545">
        <v>0</v>
      </c>
      <c r="M107" s="152">
        <f t="shared" si="28"/>
        <v>0</v>
      </c>
      <c r="O107" s="577">
        <f t="shared" si="29"/>
        <v>0</v>
      </c>
      <c r="P107" s="577"/>
      <c r="Q107" s="577"/>
      <c r="R107" s="577"/>
      <c r="S107" s="577"/>
      <c r="T107" s="577"/>
      <c r="U107" s="257"/>
      <c r="V107" s="255"/>
      <c r="W107" s="255"/>
      <c r="X107" s="255"/>
      <c r="Y107" s="255"/>
      <c r="Z107" s="255"/>
      <c r="AA107" s="255"/>
      <c r="AB107" s="255"/>
    </row>
    <row r="108" spans="1:28" ht="16.5" customHeight="1">
      <c r="A108" s="561" t="s">
        <v>124</v>
      </c>
      <c r="B108" s="561"/>
      <c r="C108" s="256">
        <v>0</v>
      </c>
      <c r="D108" s="152">
        <f t="shared" si="24"/>
        <v>0</v>
      </c>
      <c r="E108" s="545">
        <v>0</v>
      </c>
      <c r="F108" s="152">
        <f t="shared" si="25"/>
        <v>0</v>
      </c>
      <c r="G108" s="575">
        <v>0</v>
      </c>
      <c r="H108" s="575"/>
      <c r="I108" s="152">
        <f t="shared" si="26"/>
        <v>0</v>
      </c>
      <c r="J108" s="545">
        <v>0</v>
      </c>
      <c r="K108" s="152">
        <f t="shared" si="27"/>
        <v>0</v>
      </c>
      <c r="L108" s="545">
        <v>0</v>
      </c>
      <c r="M108" s="152">
        <f t="shared" si="28"/>
        <v>0</v>
      </c>
      <c r="O108" s="577">
        <f t="shared" si="29"/>
        <v>0</v>
      </c>
      <c r="P108" s="577"/>
      <c r="Q108" s="577"/>
      <c r="R108" s="577"/>
      <c r="S108" s="577"/>
      <c r="T108" s="577"/>
      <c r="U108" s="257"/>
      <c r="V108" s="255"/>
      <c r="W108" s="255"/>
      <c r="X108" s="255"/>
      <c r="Y108" s="255"/>
      <c r="Z108" s="255"/>
      <c r="AA108" s="255"/>
      <c r="AB108" s="255"/>
    </row>
    <row r="109" spans="1:28" ht="16.5" customHeight="1">
      <c r="A109" s="561" t="s">
        <v>124</v>
      </c>
      <c r="B109" s="561"/>
      <c r="C109" s="256">
        <v>0</v>
      </c>
      <c r="D109" s="152">
        <f t="shared" si="24"/>
        <v>0</v>
      </c>
      <c r="E109" s="545">
        <v>0</v>
      </c>
      <c r="F109" s="152">
        <f t="shared" si="25"/>
        <v>0</v>
      </c>
      <c r="G109" s="575">
        <v>0</v>
      </c>
      <c r="H109" s="575"/>
      <c r="I109" s="152">
        <f t="shared" si="26"/>
        <v>0</v>
      </c>
      <c r="J109" s="545">
        <v>0</v>
      </c>
      <c r="K109" s="152">
        <f>$F$96*J109</f>
        <v>0</v>
      </c>
      <c r="L109" s="545">
        <v>0</v>
      </c>
      <c r="M109" s="152">
        <f>$G$96*L109</f>
        <v>0</v>
      </c>
      <c r="O109" s="577">
        <f t="shared" si="29"/>
        <v>0</v>
      </c>
      <c r="P109" s="577"/>
      <c r="Q109" s="577"/>
      <c r="R109" s="577"/>
      <c r="S109" s="577"/>
      <c r="T109" s="577"/>
      <c r="U109" s="257"/>
      <c r="V109" s="255"/>
      <c r="W109" s="255"/>
      <c r="X109" s="255"/>
      <c r="Y109" s="255"/>
      <c r="Z109" s="255"/>
      <c r="AA109" s="255"/>
      <c r="AB109" s="255"/>
    </row>
    <row r="110" spans="1:28" ht="16.5" customHeight="1">
      <c r="A110" s="566" t="s">
        <v>80</v>
      </c>
      <c r="B110" s="566"/>
      <c r="C110" s="547">
        <f>IF(SUM(C100:C109)=100%,SUM(C100:C109),IF(SUM(C100:C109)&gt;100%,FALSE,IF(SUM(C100:C109)&lt;100%,FALSE)))</f>
        <v>1</v>
      </c>
      <c r="D110" s="258">
        <f>SUM(D100:D109)</f>
        <v>250498.8</v>
      </c>
      <c r="E110" s="547">
        <f>IF(SUM(E100:E109)=100%,SUM(E100:E109),IF(SUM(E100:E109)&gt;100%,FALSE,IF(SUM(E100:E109)&lt;100%,FALSE)))</f>
        <v>1</v>
      </c>
      <c r="F110" s="258">
        <f>SUM(F100:F109)</f>
        <v>0</v>
      </c>
      <c r="G110" s="576">
        <f>IF(SUM(G100:G109)=100%,SUM(G100:G109),IF(SUM(G100:G109)&lt;&gt;100%,FALSE))</f>
        <v>1</v>
      </c>
      <c r="H110" s="576"/>
      <c r="I110" s="258">
        <f>SUM(I100:I109)</f>
        <v>0</v>
      </c>
      <c r="J110" s="547">
        <f>IF(SUM(J100:J109)=100%,SUM(J100:J109),IF(SUM(J100:J109)&gt;100%,FALSE,IF(SUM(J100:J109)&lt;100%,FALSE)))</f>
        <v>1</v>
      </c>
      <c r="K110" s="258">
        <f>SUM(K100:K109)</f>
        <v>0</v>
      </c>
      <c r="L110" s="547">
        <f>IF(SUM(L100:L109)=100%,SUM(L100:L109),IF(SUM(L100:L109)&gt;100%,FALSE,IF(SUM(L100:L109)&lt;100%,FALSE)))</f>
        <v>1</v>
      </c>
      <c r="M110" s="258">
        <f>SUM(M100:M109)</f>
        <v>0</v>
      </c>
      <c r="N110" s="252"/>
      <c r="O110" s="579">
        <f>SUM(O100:R109)</f>
        <v>250498.8</v>
      </c>
      <c r="P110" s="579"/>
      <c r="Q110" s="579"/>
      <c r="R110" s="579"/>
      <c r="S110" s="579"/>
      <c r="T110" s="579"/>
      <c r="U110" s="543"/>
      <c r="V110" s="255"/>
      <c r="W110" s="255"/>
      <c r="X110" s="255"/>
      <c r="Y110" s="255"/>
      <c r="Z110" s="255"/>
      <c r="AA110" s="255"/>
      <c r="AB110" s="255"/>
    </row>
    <row r="111" spans="1:28" ht="16.5" customHeight="1"/>
    <row r="112" spans="1:28" ht="16.5" customHeight="1">
      <c r="A112" s="259" t="s">
        <v>185</v>
      </c>
      <c r="B112" s="259"/>
      <c r="C112" s="546">
        <f>C98</f>
        <v>2025</v>
      </c>
      <c r="D112" s="259"/>
      <c r="E112" s="259"/>
      <c r="F112" s="546">
        <f>E98</f>
        <v>2026</v>
      </c>
      <c r="G112" s="259"/>
      <c r="H112" s="259"/>
      <c r="I112" s="259"/>
      <c r="J112" s="259"/>
      <c r="K112" s="259"/>
      <c r="L112" s="537">
        <f>G98</f>
        <v>2027</v>
      </c>
      <c r="M112" s="259"/>
      <c r="N112" s="259"/>
      <c r="O112" s="259"/>
      <c r="P112" s="259"/>
      <c r="Q112" s="259"/>
      <c r="R112" s="259"/>
      <c r="S112" s="259"/>
      <c r="T112" s="259"/>
      <c r="U112" s="259"/>
      <c r="V112" s="259"/>
      <c r="W112" s="259"/>
      <c r="X112" s="564">
        <f>J98</f>
        <v>2028</v>
      </c>
      <c r="Y112" s="566"/>
      <c r="Z112" s="259"/>
      <c r="AA112" s="259"/>
      <c r="AB112" s="259"/>
    </row>
    <row r="113" spans="1:28" ht="16.5" customHeight="1">
      <c r="A113" s="255"/>
      <c r="B113" s="255"/>
      <c r="C113" s="260"/>
      <c r="D113" s="255"/>
      <c r="E113" s="255"/>
      <c r="F113" s="255"/>
      <c r="G113" s="255"/>
      <c r="H113" s="255"/>
      <c r="I113" s="260"/>
      <c r="J113" s="255"/>
      <c r="K113" s="255"/>
      <c r="L113" s="255"/>
      <c r="M113" s="255"/>
      <c r="N113" s="255"/>
      <c r="O113" s="255"/>
      <c r="P113" s="255"/>
      <c r="Q113" s="255"/>
      <c r="R113" s="260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</row>
    <row r="114" spans="1:28" ht="16.5" customHeight="1">
      <c r="A114" s="255"/>
      <c r="B114" s="255"/>
      <c r="C114" s="260"/>
      <c r="D114" s="255"/>
      <c r="E114" s="255"/>
      <c r="F114" s="255"/>
      <c r="G114" s="255"/>
      <c r="H114" s="255"/>
      <c r="I114" s="260"/>
      <c r="J114" s="255"/>
      <c r="K114" s="255"/>
      <c r="L114" s="255"/>
      <c r="M114" s="255"/>
      <c r="N114" s="255"/>
      <c r="O114" s="255"/>
      <c r="P114" s="255"/>
      <c r="Q114" s="255"/>
      <c r="R114" s="260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</row>
    <row r="115" spans="1:28" ht="16.5" customHeight="1">
      <c r="A115" s="255"/>
      <c r="B115" s="255"/>
      <c r="C115" s="260"/>
      <c r="D115" s="255"/>
      <c r="E115" s="255"/>
      <c r="F115" s="255"/>
      <c r="G115" s="255"/>
      <c r="H115" s="255"/>
      <c r="I115" s="260"/>
      <c r="J115" s="255"/>
      <c r="K115" s="255"/>
      <c r="L115" s="255"/>
      <c r="M115" s="255"/>
      <c r="N115" s="255"/>
      <c r="O115" s="255"/>
      <c r="P115" s="255"/>
      <c r="Q115" s="255"/>
      <c r="R115" s="260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</row>
    <row r="116" spans="1:28" ht="16.5" customHeight="1">
      <c r="A116" s="255"/>
      <c r="B116" s="255"/>
      <c r="C116" s="260"/>
      <c r="D116" s="255"/>
      <c r="E116" s="255"/>
      <c r="F116" s="255"/>
      <c r="G116" s="255"/>
      <c r="H116" s="255"/>
      <c r="I116" s="260"/>
      <c r="J116" s="255"/>
      <c r="K116" s="255"/>
      <c r="L116" s="255"/>
      <c r="M116" s="255"/>
      <c r="N116" s="255"/>
      <c r="O116" s="255"/>
      <c r="P116" s="255"/>
      <c r="Q116" s="255"/>
      <c r="R116" s="260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</row>
    <row r="117" spans="1:28" ht="16.5" customHeight="1">
      <c r="A117" s="255"/>
      <c r="B117" s="255"/>
      <c r="C117" s="260"/>
      <c r="D117" s="255"/>
      <c r="E117" s="255"/>
      <c r="F117" s="255"/>
      <c r="G117" s="255"/>
      <c r="H117" s="255"/>
      <c r="I117" s="260"/>
      <c r="J117" s="255"/>
      <c r="K117" s="255"/>
      <c r="L117" s="255"/>
      <c r="M117" s="255"/>
      <c r="N117" s="255"/>
      <c r="O117" s="255"/>
      <c r="P117" s="255"/>
      <c r="Q117" s="255"/>
      <c r="R117" s="260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</row>
    <row r="118" spans="1:28" ht="16.5" customHeight="1">
      <c r="A118" s="255"/>
      <c r="B118" s="255"/>
      <c r="C118" s="260"/>
      <c r="D118" s="255"/>
      <c r="E118" s="255"/>
      <c r="F118" s="255"/>
      <c r="G118" s="255"/>
      <c r="H118" s="255"/>
      <c r="I118" s="260"/>
      <c r="J118" s="255"/>
      <c r="K118" s="255"/>
      <c r="L118" s="255"/>
      <c r="M118" s="255"/>
      <c r="N118" s="255"/>
      <c r="O118" s="255"/>
      <c r="P118" s="255"/>
      <c r="Q118" s="255"/>
      <c r="R118" s="260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</row>
    <row r="119" spans="1:28" ht="16.5" customHeight="1">
      <c r="A119" s="255"/>
      <c r="B119" s="255"/>
      <c r="C119" s="260"/>
      <c r="D119" s="255"/>
      <c r="E119" s="255"/>
      <c r="F119" s="255"/>
      <c r="G119" s="255"/>
      <c r="H119" s="255"/>
      <c r="I119" s="260"/>
      <c r="J119" s="255"/>
      <c r="K119" s="255"/>
      <c r="L119" s="255"/>
      <c r="M119" s="255"/>
      <c r="N119" s="255"/>
      <c r="O119" s="255"/>
      <c r="P119" s="255"/>
      <c r="Q119" s="255"/>
      <c r="R119" s="260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</row>
    <row r="120" spans="1:28" ht="16.5" customHeight="1">
      <c r="A120" s="255"/>
      <c r="B120" s="255"/>
      <c r="C120" s="260"/>
      <c r="D120" s="255"/>
      <c r="E120" s="255"/>
      <c r="F120" s="255"/>
      <c r="G120" s="255"/>
      <c r="H120" s="255"/>
      <c r="I120" s="260"/>
      <c r="J120" s="255"/>
      <c r="K120" s="255"/>
      <c r="L120" s="255"/>
      <c r="M120" s="255"/>
      <c r="N120" s="255"/>
      <c r="O120" s="255"/>
      <c r="P120" s="255"/>
      <c r="Q120" s="255"/>
      <c r="R120" s="260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</row>
    <row r="121" spans="1:28" ht="16.5" customHeight="1">
      <c r="A121" s="255"/>
      <c r="B121" s="255"/>
      <c r="C121" s="260"/>
      <c r="D121" s="255"/>
      <c r="E121" s="255"/>
      <c r="F121" s="255"/>
      <c r="G121" s="255"/>
      <c r="H121" s="255"/>
      <c r="I121" s="260"/>
      <c r="J121" s="255"/>
      <c r="K121" s="255"/>
      <c r="L121" s="255"/>
      <c r="M121" s="255"/>
      <c r="N121" s="255"/>
      <c r="O121" s="255"/>
      <c r="P121" s="255"/>
      <c r="Q121" s="255"/>
      <c r="R121" s="260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</row>
    <row r="122" spans="1:28" ht="16.5" customHeight="1">
      <c r="A122" s="255"/>
      <c r="B122" s="255"/>
      <c r="C122" s="260"/>
      <c r="D122" s="255"/>
      <c r="E122" s="255"/>
      <c r="F122" s="255"/>
      <c r="G122" s="255"/>
      <c r="H122" s="255"/>
      <c r="I122" s="260"/>
      <c r="J122" s="255"/>
      <c r="K122" s="255"/>
      <c r="L122" s="255"/>
      <c r="M122" s="255"/>
      <c r="N122" s="255"/>
      <c r="O122" s="255"/>
      <c r="P122" s="255"/>
      <c r="Q122" s="255"/>
      <c r="R122" s="260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</row>
    <row r="123" spans="1:28" ht="16.5" customHeight="1">
      <c r="A123" s="255"/>
      <c r="B123" s="255"/>
      <c r="C123" s="260"/>
      <c r="D123" s="255"/>
      <c r="E123" s="255"/>
      <c r="F123" s="255"/>
      <c r="G123" s="255"/>
      <c r="H123" s="255"/>
      <c r="I123" s="260"/>
      <c r="J123" s="255"/>
      <c r="K123" s="255"/>
      <c r="L123" s="255"/>
      <c r="M123" s="255"/>
      <c r="N123" s="255"/>
      <c r="O123" s="255"/>
      <c r="P123" s="255"/>
      <c r="Q123" s="255"/>
      <c r="R123" s="260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</row>
    <row r="124" spans="1:28" ht="16.5" customHeight="1">
      <c r="A124" s="255"/>
      <c r="B124" s="255"/>
      <c r="C124" s="260"/>
      <c r="D124" s="255"/>
      <c r="E124" s="255"/>
      <c r="F124" s="255"/>
      <c r="G124" s="255"/>
      <c r="H124" s="255"/>
      <c r="I124" s="260"/>
      <c r="J124" s="255"/>
      <c r="K124" s="255"/>
      <c r="L124" s="255"/>
      <c r="M124" s="255"/>
      <c r="N124" s="255"/>
      <c r="O124" s="255"/>
      <c r="P124" s="255"/>
      <c r="Q124" s="255"/>
      <c r="R124" s="260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</row>
    <row r="125" spans="1:28" ht="16.5" customHeight="1"/>
    <row r="126" spans="1:28" ht="16.5" customHeight="1"/>
    <row r="127" spans="1:28" ht="16.5" customHeight="1"/>
    <row r="128" spans="1:28" ht="16.5" customHeight="1"/>
    <row r="129" spans="1:28" ht="16.5" customHeight="1"/>
    <row r="130" spans="1:28" ht="16.5" customHeight="1">
      <c r="A130" s="206"/>
      <c r="B130" s="206"/>
      <c r="C130" s="207"/>
      <c r="D130" s="207"/>
      <c r="E130" s="207"/>
      <c r="F130" s="207"/>
      <c r="G130" s="207"/>
      <c r="H130" s="261"/>
      <c r="I130" s="207"/>
      <c r="J130" s="207"/>
      <c r="K130" s="207"/>
      <c r="L130" s="207"/>
      <c r="M130" s="207"/>
      <c r="N130" s="261"/>
      <c r="O130" s="207"/>
      <c r="P130" s="207"/>
      <c r="Q130" s="207"/>
      <c r="R130" s="261"/>
      <c r="S130" s="261"/>
      <c r="T130" s="261"/>
      <c r="U130" s="261"/>
      <c r="V130" s="207"/>
      <c r="W130" s="207"/>
      <c r="X130" s="207"/>
      <c r="Y130" s="207"/>
      <c r="Z130" s="207"/>
      <c r="AA130" s="252"/>
      <c r="AB130" s="207"/>
    </row>
    <row r="131" spans="1:28" ht="16.5" customHeight="1"/>
    <row r="132" spans="1:28" ht="16.5" customHeight="1"/>
    <row r="133" spans="1:28" ht="16.5" customHeight="1"/>
    <row r="134" spans="1:28" ht="16.5" customHeight="1"/>
    <row r="135" spans="1:28" ht="16.5" customHeight="1"/>
    <row r="136" spans="1:28" ht="16.5" customHeight="1"/>
    <row r="137" spans="1:28" ht="16.5" customHeight="1"/>
    <row r="138" spans="1:28" ht="16.5" customHeight="1"/>
    <row r="139" spans="1:28" ht="16.5" customHeight="1">
      <c r="C139" s="4"/>
    </row>
    <row r="140" spans="1:28" ht="16.5" customHeight="1"/>
    <row r="141" spans="1:28" ht="16.5" customHeight="1">
      <c r="C141" s="262"/>
    </row>
    <row r="142" spans="1:28" ht="16.5" customHeight="1"/>
    <row r="143" spans="1:28" ht="16.5" customHeight="1"/>
    <row r="144" spans="1:28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</sheetData>
  <sheetProtection algorithmName="SHA-512" hashValue="+kDbX4NGwhoMehVUYNOU9vEaDG0yNrqjXV8O3SqU6e9PnL8s/JsUphZSHva/aPb7OMcgzFqD0AKGw+HjIcMtjw==" saltValue="cGay9tVInUScq2AGoOq0vA==" spinCount="100000" sheet="1" selectLockedCells="1"/>
  <mergeCells count="93">
    <mergeCell ref="V98:W98"/>
    <mergeCell ref="O110:T110"/>
    <mergeCell ref="O101:T101"/>
    <mergeCell ref="O102:T102"/>
    <mergeCell ref="O103:T103"/>
    <mergeCell ref="O104:T104"/>
    <mergeCell ref="O105:T105"/>
    <mergeCell ref="O106:T106"/>
    <mergeCell ref="O65:O70"/>
    <mergeCell ref="O71:O74"/>
    <mergeCell ref="O75:O76"/>
    <mergeCell ref="A71:A74"/>
    <mergeCell ref="O98:T99"/>
    <mergeCell ref="A37:B37"/>
    <mergeCell ref="A39:G39"/>
    <mergeCell ref="I39:M39"/>
    <mergeCell ref="A106:B106"/>
    <mergeCell ref="A107:B107"/>
    <mergeCell ref="G104:H104"/>
    <mergeCell ref="G105:H105"/>
    <mergeCell ref="G106:H106"/>
    <mergeCell ref="X112:Y112"/>
    <mergeCell ref="I79:M79"/>
    <mergeCell ref="V79:Z79"/>
    <mergeCell ref="G101:H101"/>
    <mergeCell ref="G102:H102"/>
    <mergeCell ref="G103:H103"/>
    <mergeCell ref="G110:H110"/>
    <mergeCell ref="G108:H108"/>
    <mergeCell ref="G109:H109"/>
    <mergeCell ref="G107:H107"/>
    <mergeCell ref="O107:T107"/>
    <mergeCell ref="G99:H99"/>
    <mergeCell ref="G100:H100"/>
    <mergeCell ref="O100:T100"/>
    <mergeCell ref="O108:T108"/>
    <mergeCell ref="O109:T109"/>
    <mergeCell ref="V39:Z39"/>
    <mergeCell ref="O40:O45"/>
    <mergeCell ref="O46:O51"/>
    <mergeCell ref="O59:O64"/>
    <mergeCell ref="A52:A58"/>
    <mergeCell ref="A40:A45"/>
    <mergeCell ref="A46:A51"/>
    <mergeCell ref="O52:O58"/>
    <mergeCell ref="A59:A64"/>
    <mergeCell ref="A24:A26"/>
    <mergeCell ref="A27:A29"/>
    <mergeCell ref="O24:O26"/>
    <mergeCell ref="O27:O29"/>
    <mergeCell ref="O30:O32"/>
    <mergeCell ref="O35:O36"/>
    <mergeCell ref="A30:A32"/>
    <mergeCell ref="A35:A36"/>
    <mergeCell ref="A1:AB1"/>
    <mergeCell ref="A2:AB2"/>
    <mergeCell ref="A3:AB3"/>
    <mergeCell ref="I7:M7"/>
    <mergeCell ref="V7:Z7"/>
    <mergeCell ref="A7:G7"/>
    <mergeCell ref="O8:O12"/>
    <mergeCell ref="O13:O16"/>
    <mergeCell ref="O17:O19"/>
    <mergeCell ref="O20:O23"/>
    <mergeCell ref="A8:A12"/>
    <mergeCell ref="A13:A16"/>
    <mergeCell ref="A17:A19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5:B105"/>
    <mergeCell ref="A104:B104"/>
    <mergeCell ref="A20:A23"/>
    <mergeCell ref="A88:A91"/>
    <mergeCell ref="A79:G79"/>
    <mergeCell ref="L98:M98"/>
    <mergeCell ref="G98:I98"/>
    <mergeCell ref="A98:B98"/>
    <mergeCell ref="J98:K98"/>
    <mergeCell ref="C98:D98"/>
    <mergeCell ref="E98:F98"/>
    <mergeCell ref="A92:A93"/>
    <mergeCell ref="A94:B94"/>
    <mergeCell ref="A80:A83"/>
    <mergeCell ref="A84:A87"/>
    <mergeCell ref="A77:B77"/>
    <mergeCell ref="A75:A76"/>
    <mergeCell ref="A65:A70"/>
  </mergeCells>
  <phoneticPr fontId="17" type="noConversion"/>
  <conditionalFormatting sqref="C100:C109">
    <cfRule type="cellIs" dxfId="3" priority="1" stopIfTrue="1" operator="greaterThan">
      <formula>0</formula>
    </cfRule>
  </conditionalFormatting>
  <conditionalFormatting sqref="C110 E110 G110:H110 J110 L110">
    <cfRule type="cellIs" dxfId="2" priority="17" stopIfTrue="1" operator="equal">
      <formula>FALSE</formula>
    </cfRule>
  </conditionalFormatting>
  <printOptions horizontalCentered="1"/>
  <pageMargins left="0.15748031496062992" right="0.15748031496062992" top="0.15748031496062992" bottom="0.15748031496062992" header="0.15748031496062992" footer="0.15748031496062992"/>
  <pageSetup paperSize="8" scale="53" fitToHeight="3" orientation="landscape" r:id="rId1"/>
  <rowBreaks count="1" manualBreakCount="1">
    <brk id="77" max="2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2BC3F-925E-45A1-8326-23392344222F}">
  <dimension ref="A1:I34"/>
  <sheetViews>
    <sheetView topLeftCell="A3" workbookViewId="0">
      <selection activeCell="E13" sqref="E13"/>
    </sheetView>
  </sheetViews>
  <sheetFormatPr defaultRowHeight="12.75"/>
  <cols>
    <col min="1" max="1" width="76.7109375" bestFit="1" customWidth="1"/>
    <col min="2" max="5" width="16.85546875" customWidth="1"/>
    <col min="7" max="7" width="9.140625" bestFit="1" customWidth="1"/>
    <col min="8" max="8" width="35.5703125" bestFit="1" customWidth="1"/>
    <col min="9" max="9" width="10.140625" bestFit="1" customWidth="1"/>
  </cols>
  <sheetData>
    <row r="1" spans="1:9" ht="22.5" customHeight="1">
      <c r="A1" s="554" t="str">
        <f>Menù!D3</f>
        <v>Trovato 1929</v>
      </c>
      <c r="B1" s="550"/>
      <c r="C1" s="550"/>
      <c r="D1" s="550"/>
      <c r="E1" s="550"/>
    </row>
    <row r="2" spans="1:9" ht="51.95" customHeight="1">
      <c r="A2" s="555" t="str">
        <f>Menù!A2</f>
        <v>Budget e Business Plan</v>
      </c>
      <c r="B2" s="555"/>
      <c r="C2" s="555"/>
      <c r="D2" s="555"/>
      <c r="E2" s="555"/>
    </row>
    <row r="3" spans="1:9" ht="15.95" customHeight="1">
      <c r="A3" s="556" t="s">
        <v>125</v>
      </c>
      <c r="B3" s="556"/>
      <c r="C3" s="556"/>
      <c r="D3" s="556"/>
      <c r="E3" s="556"/>
    </row>
    <row r="5" spans="1:9">
      <c r="A5" s="184" t="s">
        <v>186</v>
      </c>
      <c r="B5" s="192" t="s">
        <v>187</v>
      </c>
      <c r="C5" s="192" t="s">
        <v>188</v>
      </c>
      <c r="D5" s="192" t="s">
        <v>80</v>
      </c>
      <c r="E5" s="192" t="s">
        <v>189</v>
      </c>
    </row>
    <row r="6" spans="1:9">
      <c r="A6" s="185" t="s">
        <v>190</v>
      </c>
      <c r="B6" s="193">
        <f>'Controll Panel'!$B$41</f>
        <v>140</v>
      </c>
      <c r="C6" s="186">
        <v>178.57</v>
      </c>
      <c r="D6" s="186">
        <f>B6*C6</f>
        <v>24999.8</v>
      </c>
      <c r="E6" s="202" t="s">
        <v>191</v>
      </c>
      <c r="G6" s="201"/>
      <c r="I6" s="200"/>
    </row>
    <row r="7" spans="1:9">
      <c r="A7" s="1" t="s">
        <v>192</v>
      </c>
      <c r="B7" s="66">
        <f>'Controll Panel'!$B$41</f>
        <v>140</v>
      </c>
      <c r="C7" s="187">
        <v>50</v>
      </c>
      <c r="D7" s="187">
        <f t="shared" ref="D7:D22" si="0">B7*C7</f>
        <v>7000</v>
      </c>
      <c r="E7" s="203" t="s">
        <v>191</v>
      </c>
      <c r="G7" s="201"/>
      <c r="I7" s="200"/>
    </row>
    <row r="8" spans="1:9">
      <c r="A8" s="1" t="s">
        <v>193</v>
      </c>
      <c r="B8" s="66">
        <f>'Controll Panel'!$B$41</f>
        <v>140</v>
      </c>
      <c r="C8" s="187">
        <v>100</v>
      </c>
      <c r="D8" s="187">
        <f t="shared" si="0"/>
        <v>14000</v>
      </c>
      <c r="E8" s="203" t="s">
        <v>191</v>
      </c>
      <c r="G8" s="201"/>
      <c r="I8" s="200"/>
    </row>
    <row r="9" spans="1:9">
      <c r="A9" s="1" t="s">
        <v>194</v>
      </c>
      <c r="B9" s="66">
        <f>'Controll Panel'!$B$41</f>
        <v>140</v>
      </c>
      <c r="C9" s="187">
        <v>42.86</v>
      </c>
      <c r="D9" s="187">
        <f t="shared" si="0"/>
        <v>6000.4</v>
      </c>
      <c r="E9" s="203" t="s">
        <v>191</v>
      </c>
      <c r="G9" s="201"/>
      <c r="I9" s="200"/>
    </row>
    <row r="10" spans="1:9">
      <c r="A10" s="1" t="s">
        <v>195</v>
      </c>
      <c r="B10" s="66">
        <f>'Controll Panel'!$B$41</f>
        <v>140</v>
      </c>
      <c r="C10" s="187">
        <v>235.71</v>
      </c>
      <c r="D10" s="187">
        <f t="shared" si="0"/>
        <v>32999.4</v>
      </c>
      <c r="E10" s="203" t="s">
        <v>191</v>
      </c>
      <c r="G10" s="201"/>
      <c r="I10" s="200"/>
    </row>
    <row r="11" spans="1:9">
      <c r="A11" s="1" t="s">
        <v>196</v>
      </c>
      <c r="B11" s="66">
        <f>'Controll Panel'!$B$41</f>
        <v>140</v>
      </c>
      <c r="C11" s="187">
        <v>71.428571428571431</v>
      </c>
      <c r="D11" s="187">
        <v>10000</v>
      </c>
      <c r="E11" s="203" t="s">
        <v>191</v>
      </c>
      <c r="G11" s="201"/>
      <c r="I11" s="200"/>
    </row>
    <row r="12" spans="1:9">
      <c r="A12" s="1" t="s">
        <v>197</v>
      </c>
      <c r="B12" s="66">
        <f>'Controll Panel'!$B$41</f>
        <v>140</v>
      </c>
      <c r="C12" s="187">
        <v>157.14285714285714</v>
      </c>
      <c r="D12" s="187">
        <f t="shared" si="0"/>
        <v>22000</v>
      </c>
      <c r="E12" s="203" t="s">
        <v>191</v>
      </c>
      <c r="G12" s="201"/>
      <c r="I12" s="200"/>
    </row>
    <row r="13" spans="1:9">
      <c r="A13" s="1" t="s">
        <v>198</v>
      </c>
      <c r="B13" s="66">
        <f>'Controll Panel'!$B$41</f>
        <v>140</v>
      </c>
      <c r="C13" s="187">
        <v>57.142857142857146</v>
      </c>
      <c r="D13" s="187">
        <f t="shared" si="0"/>
        <v>8000</v>
      </c>
      <c r="E13" s="203" t="s">
        <v>191</v>
      </c>
      <c r="G13" s="201"/>
      <c r="I13" s="200"/>
    </row>
    <row r="14" spans="1:9">
      <c r="A14" s="1" t="s">
        <v>199</v>
      </c>
      <c r="B14" s="66">
        <f>'Controll Panel'!$B$41</f>
        <v>140</v>
      </c>
      <c r="C14" s="187">
        <v>100</v>
      </c>
      <c r="D14" s="187">
        <f t="shared" si="0"/>
        <v>14000</v>
      </c>
      <c r="E14" s="203" t="s">
        <v>191</v>
      </c>
      <c r="G14" s="201"/>
      <c r="I14" s="200"/>
    </row>
    <row r="15" spans="1:9">
      <c r="A15" s="1" t="s">
        <v>200</v>
      </c>
      <c r="B15" s="66">
        <f>'Controll Panel'!$B$41</f>
        <v>140</v>
      </c>
      <c r="C15" s="187">
        <v>75</v>
      </c>
      <c r="D15" s="187">
        <f t="shared" si="0"/>
        <v>10500</v>
      </c>
      <c r="E15" s="203" t="s">
        <v>191</v>
      </c>
      <c r="G15" s="201"/>
      <c r="I15" s="200"/>
    </row>
    <row r="16" spans="1:9">
      <c r="A16" s="1" t="s">
        <v>201</v>
      </c>
      <c r="B16" s="66">
        <f>'Controll Panel'!$B$41</f>
        <v>140</v>
      </c>
      <c r="C16" s="187">
        <v>378.57</v>
      </c>
      <c r="D16" s="187">
        <f t="shared" si="0"/>
        <v>52999.799999999996</v>
      </c>
      <c r="E16" s="203" t="s">
        <v>191</v>
      </c>
      <c r="G16" s="201"/>
      <c r="I16" s="200"/>
    </row>
    <row r="17" spans="1:9">
      <c r="A17" s="1" t="s">
        <v>202</v>
      </c>
      <c r="B17" s="66">
        <f>'Controll Panel'!$B$41</f>
        <v>140</v>
      </c>
      <c r="C17" s="187">
        <v>57.142857142857146</v>
      </c>
      <c r="D17" s="187">
        <f t="shared" si="0"/>
        <v>8000</v>
      </c>
      <c r="E17" s="203" t="s">
        <v>191</v>
      </c>
      <c r="G17" s="201"/>
      <c r="I17" s="200"/>
    </row>
    <row r="18" spans="1:9">
      <c r="A18" s="1" t="s">
        <v>203</v>
      </c>
      <c r="B18" s="66">
        <f>'Controll Panel'!$B$41</f>
        <v>140</v>
      </c>
      <c r="C18" s="187">
        <v>71.428571428571431</v>
      </c>
      <c r="D18" s="187">
        <f t="shared" si="0"/>
        <v>10000</v>
      </c>
      <c r="E18" s="203" t="s">
        <v>191</v>
      </c>
      <c r="G18" s="201"/>
      <c r="I18" s="200"/>
    </row>
    <row r="19" spans="1:9" ht="13.5" thickBot="1">
      <c r="A19" s="189" t="s">
        <v>204</v>
      </c>
      <c r="B19" s="194">
        <f>'Controll Panel'!$B$41</f>
        <v>140</v>
      </c>
      <c r="C19" s="190">
        <v>85.71</v>
      </c>
      <c r="D19" s="190">
        <f t="shared" si="0"/>
        <v>11999.4</v>
      </c>
      <c r="E19" s="204" t="s">
        <v>191</v>
      </c>
      <c r="G19" s="201"/>
      <c r="I19" s="200"/>
    </row>
    <row r="20" spans="1:9" ht="13.5" thickTop="1">
      <c r="A20" s="191"/>
      <c r="B20" s="66"/>
      <c r="C20" s="187"/>
      <c r="D20" s="187"/>
      <c r="E20" s="203"/>
      <c r="G20" s="201"/>
      <c r="I20" s="200"/>
    </row>
    <row r="21" spans="1:9">
      <c r="A21" s="185" t="s">
        <v>205</v>
      </c>
      <c r="B21" s="193">
        <f>'Controll Panel'!$B$41</f>
        <v>140</v>
      </c>
      <c r="C21" s="186">
        <v>71.428571428571431</v>
      </c>
      <c r="D21" s="186">
        <f t="shared" si="0"/>
        <v>10000</v>
      </c>
      <c r="E21" s="202" t="s">
        <v>191</v>
      </c>
      <c r="G21" s="201"/>
      <c r="I21" s="200"/>
    </row>
    <row r="22" spans="1:9" ht="13.5" thickBot="1">
      <c r="A22" s="189" t="s">
        <v>206</v>
      </c>
      <c r="B22" s="194">
        <f>'Controll Panel'!$B$41</f>
        <v>140</v>
      </c>
      <c r="C22" s="190">
        <v>57.142857142857146</v>
      </c>
      <c r="D22" s="190">
        <f t="shared" si="0"/>
        <v>8000</v>
      </c>
      <c r="E22" s="204" t="s">
        <v>191</v>
      </c>
    </row>
    <row r="23" spans="1:9" ht="13.5" thickTop="1">
      <c r="A23" s="1"/>
      <c r="B23" s="195"/>
      <c r="C23" s="188"/>
      <c r="D23" s="188"/>
      <c r="E23" s="188"/>
    </row>
    <row r="24" spans="1:9" ht="13.5" thickBot="1">
      <c r="A24" s="196" t="s">
        <v>80</v>
      </c>
      <c r="B24" s="197">
        <f>AVERAGE(B6:B22)</f>
        <v>140</v>
      </c>
      <c r="C24" s="198">
        <f>D24/B24</f>
        <v>1789.2771428571427</v>
      </c>
      <c r="D24" s="198">
        <f>SUMIF(E6:E22,"X",D6:D22)</f>
        <v>250498.8</v>
      </c>
      <c r="E24" s="199" t="s">
        <v>26</v>
      </c>
    </row>
    <row r="25" spans="1:9" ht="13.5" thickTop="1">
      <c r="A25" s="65"/>
    </row>
    <row r="26" spans="1:9">
      <c r="A26" s="65"/>
    </row>
    <row r="27" spans="1:9">
      <c r="A27" s="65"/>
    </row>
    <row r="28" spans="1:9">
      <c r="A28" s="65"/>
    </row>
    <row r="29" spans="1:9">
      <c r="A29" s="65"/>
    </row>
    <row r="30" spans="1:9">
      <c r="A30" s="65"/>
    </row>
    <row r="31" spans="1:9">
      <c r="A31" s="65"/>
    </row>
    <row r="32" spans="1:9">
      <c r="A32" s="65"/>
    </row>
    <row r="33" spans="1:1">
      <c r="A33" s="65"/>
    </row>
    <row r="34" spans="1:1">
      <c r="A34" s="65"/>
    </row>
  </sheetData>
  <sheetProtection algorithmName="SHA-512" hashValue="6aEGw2yer9utQzCjrgU1JfdAmGwCZaLL1OFUe64Z2hHUJq0nTiL1hypIg4q+yUGLxWzmZeOrIDwNG9X1kY1+ng==" saltValue="B3bTfYjWOmT3bNQ2RRe72A==" spinCount="100000" sheet="1" objects="1" scenarios="1" selectLockedCells="1"/>
  <mergeCells count="3">
    <mergeCell ref="A1:E1"/>
    <mergeCell ref="A2:E2"/>
    <mergeCell ref="A3:E3"/>
  </mergeCells>
  <dataValidations count="1">
    <dataValidation type="list" allowBlank="1" showInputMessage="1" showErrorMessage="1" sqref="E6:E19 E21:E22" xr:uid="{B5406F43-30C8-4188-AA53-BAFDA7CA1C9F}">
      <formula1>"X,O"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4">
    <pageSetUpPr fitToPage="1"/>
  </sheetPr>
  <dimension ref="A1:AI581"/>
  <sheetViews>
    <sheetView topLeftCell="B117" zoomScale="98" zoomScaleNormal="100" workbookViewId="0">
      <selection activeCell="M34" sqref="M34"/>
    </sheetView>
  </sheetViews>
  <sheetFormatPr defaultColWidth="9" defaultRowHeight="14.25" customHeight="1"/>
  <cols>
    <col min="1" max="1" width="32.7109375" style="1" customWidth="1"/>
    <col min="2" max="2" width="11.28515625" style="1" customWidth="1"/>
    <col min="3" max="3" width="30.42578125" style="1" bestFit="1" customWidth="1"/>
    <col min="4" max="4" width="5.85546875" style="2" bestFit="1" customWidth="1"/>
    <col min="5" max="7" width="14.28515625" style="2" hidden="1" customWidth="1"/>
    <col min="8" max="8" width="14" style="391" customWidth="1"/>
    <col min="9" max="9" width="14" style="392" customWidth="1"/>
    <col min="10" max="10" width="16" style="1" bestFit="1" customWidth="1"/>
    <col min="11" max="11" width="16.28515625" style="393" customWidth="1"/>
    <col min="12" max="12" width="14" style="391" customWidth="1"/>
    <col min="13" max="13" width="14" style="392" customWidth="1"/>
    <col min="14" max="14" width="16" style="1" bestFit="1" customWidth="1"/>
    <col min="15" max="15" width="13.140625" style="394" customWidth="1"/>
    <col min="16" max="16" width="14" style="391" customWidth="1"/>
    <col min="17" max="17" width="14" style="392" customWidth="1"/>
    <col min="18" max="18" width="16" style="1" bestFit="1" customWidth="1"/>
    <col min="19" max="19" width="12.85546875" style="394" customWidth="1"/>
    <col min="20" max="20" width="14" style="391" customWidth="1"/>
    <col min="21" max="21" width="14" style="392" customWidth="1"/>
    <col min="22" max="22" width="16" style="1" bestFit="1" customWidth="1"/>
    <col min="23" max="23" width="15.28515625" style="394" customWidth="1"/>
    <col min="24" max="24" width="14" style="391" customWidth="1"/>
    <col min="25" max="25" width="14" style="392" customWidth="1"/>
    <col min="26" max="26" width="16" style="1" bestFit="1" customWidth="1"/>
    <col min="27" max="27" width="8.42578125" style="395" bestFit="1" customWidth="1"/>
    <col min="28" max="28" width="16.28515625" style="1" customWidth="1"/>
    <col min="29" max="29" width="5.7109375" style="396" customWidth="1"/>
    <col min="30" max="30" width="10.140625" style="1" bestFit="1" customWidth="1"/>
    <col min="31" max="31" width="10.28515625" style="1" bestFit="1" customWidth="1"/>
    <col min="32" max="34" width="9" style="1"/>
    <col min="35" max="35" width="12.7109375" style="1" bestFit="1" customWidth="1"/>
    <col min="36" max="16384" width="9" style="1"/>
  </cols>
  <sheetData>
    <row r="1" spans="1:35" ht="30" customHeight="1">
      <c r="A1" s="554" t="str">
        <f>Menù!D3</f>
        <v>Trovato 1929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</row>
    <row r="2" spans="1:35" ht="43.5" customHeight="1">
      <c r="A2" s="555" t="str">
        <f>Menù!A2</f>
        <v>Budget e Business Plan</v>
      </c>
      <c r="B2" s="555"/>
      <c r="C2" s="555"/>
      <c r="D2" s="555"/>
      <c r="E2" s="555"/>
      <c r="F2" s="555"/>
      <c r="G2" s="555"/>
      <c r="H2" s="555"/>
      <c r="I2" s="555"/>
      <c r="J2" s="555"/>
      <c r="K2" s="555"/>
      <c r="L2" s="555"/>
      <c r="M2" s="555"/>
      <c r="N2" s="555"/>
      <c r="O2" s="555"/>
      <c r="P2" s="555"/>
      <c r="Q2" s="555"/>
      <c r="R2" s="555"/>
      <c r="S2" s="555"/>
      <c r="T2" s="555"/>
      <c r="U2" s="555"/>
      <c r="V2" s="555"/>
      <c r="W2" s="555"/>
      <c r="X2" s="555"/>
      <c r="Y2" s="555"/>
      <c r="Z2" s="555"/>
      <c r="AA2" s="555"/>
      <c r="AB2" s="555"/>
      <c r="AC2" s="555"/>
    </row>
    <row r="3" spans="1:35" ht="15" customHeight="1">
      <c r="A3" s="559" t="s">
        <v>207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  <c r="N3" s="559"/>
      <c r="O3" s="559"/>
      <c r="P3" s="559"/>
      <c r="Q3" s="559"/>
      <c r="R3" s="559"/>
      <c r="S3" s="559"/>
      <c r="T3" s="559"/>
      <c r="U3" s="559"/>
      <c r="V3" s="559"/>
      <c r="W3" s="559"/>
      <c r="X3" s="559"/>
      <c r="Y3" s="559"/>
      <c r="Z3" s="559"/>
      <c r="AA3" s="559"/>
      <c r="AB3" s="559"/>
      <c r="AC3" s="559"/>
    </row>
    <row r="4" spans="1:35" ht="10.5" customHeight="1"/>
    <row r="5" spans="1:35" ht="16.5" customHeight="1">
      <c r="A5" s="397" t="s">
        <v>108</v>
      </c>
      <c r="B5" s="397" t="s">
        <v>208</v>
      </c>
      <c r="C5" s="397" t="s">
        <v>109</v>
      </c>
      <c r="D5" s="397" t="s">
        <v>209</v>
      </c>
      <c r="E5" s="398" t="s">
        <v>210</v>
      </c>
      <c r="F5" s="399" t="s">
        <v>211</v>
      </c>
      <c r="G5" s="399" t="s">
        <v>212</v>
      </c>
      <c r="H5" s="398" t="s">
        <v>65</v>
      </c>
      <c r="I5" s="399" t="s">
        <v>213</v>
      </c>
      <c r="J5" s="399" t="s">
        <v>80</v>
      </c>
      <c r="K5" s="400" t="s">
        <v>214</v>
      </c>
      <c r="L5" s="398" t="s">
        <v>65</v>
      </c>
      <c r="M5" s="399" t="s">
        <v>213</v>
      </c>
      <c r="N5" s="399" t="s">
        <v>80</v>
      </c>
      <c r="O5" s="400" t="s">
        <v>214</v>
      </c>
      <c r="P5" s="398" t="s">
        <v>65</v>
      </c>
      <c r="Q5" s="399" t="s">
        <v>213</v>
      </c>
      <c r="R5" s="399" t="s">
        <v>80</v>
      </c>
      <c r="S5" s="400" t="s">
        <v>214</v>
      </c>
      <c r="T5" s="398" t="s">
        <v>65</v>
      </c>
      <c r="U5" s="399" t="s">
        <v>213</v>
      </c>
      <c r="V5" s="399" t="s">
        <v>80</v>
      </c>
      <c r="W5" s="400" t="s">
        <v>214</v>
      </c>
      <c r="X5" s="398" t="s">
        <v>65</v>
      </c>
      <c r="Y5" s="399" t="s">
        <v>213</v>
      </c>
      <c r="Z5" s="399" t="s">
        <v>80</v>
      </c>
      <c r="AA5" s="399" t="s">
        <v>215</v>
      </c>
      <c r="AB5" s="399" t="s">
        <v>112</v>
      </c>
      <c r="AC5" s="401" t="s">
        <v>216</v>
      </c>
    </row>
    <row r="6" spans="1:35" ht="10.5" customHeight="1">
      <c r="A6" s="548"/>
      <c r="B6" s="548"/>
      <c r="C6" s="548"/>
      <c r="D6" s="548"/>
      <c r="E6" s="548"/>
      <c r="F6" s="548"/>
      <c r="G6" s="548"/>
      <c r="H6" s="239"/>
      <c r="I6" s="540"/>
      <c r="J6" s="540"/>
      <c r="K6" s="402"/>
      <c r="L6" s="239"/>
      <c r="M6" s="540"/>
      <c r="N6" s="540"/>
      <c r="O6" s="238"/>
      <c r="P6" s="239"/>
      <c r="Q6" s="540"/>
      <c r="R6" s="540"/>
      <c r="S6" s="238"/>
      <c r="T6" s="239"/>
      <c r="U6" s="540"/>
      <c r="V6" s="540"/>
      <c r="W6" s="238"/>
      <c r="X6" s="239"/>
      <c r="Y6" s="540"/>
      <c r="Z6" s="540"/>
      <c r="AA6" s="403"/>
      <c r="AB6" s="540"/>
      <c r="AC6" s="214"/>
    </row>
    <row r="7" spans="1:35" ht="15.4" customHeight="1">
      <c r="A7" s="548"/>
      <c r="B7" s="548"/>
      <c r="C7" s="548"/>
      <c r="D7" s="548"/>
      <c r="E7" s="548"/>
      <c r="F7" s="548"/>
      <c r="G7" s="548"/>
      <c r="H7" s="214">
        <f>Inv.!$V$5</f>
        <v>2025</v>
      </c>
      <c r="I7" s="214">
        <f>H7</f>
        <v>2025</v>
      </c>
      <c r="J7" s="214">
        <f>H7</f>
        <v>2025</v>
      </c>
      <c r="K7" s="404"/>
      <c r="L7" s="214">
        <f>H7+1</f>
        <v>2026</v>
      </c>
      <c r="M7" s="214">
        <f>I7+1</f>
        <v>2026</v>
      </c>
      <c r="N7" s="214">
        <f>J7+1</f>
        <v>2026</v>
      </c>
      <c r="O7" s="214"/>
      <c r="P7" s="214">
        <f>L7+1</f>
        <v>2027</v>
      </c>
      <c r="Q7" s="214">
        <f>M7+1</f>
        <v>2027</v>
      </c>
      <c r="R7" s="214">
        <f>N7+1</f>
        <v>2027</v>
      </c>
      <c r="S7" s="214"/>
      <c r="T7" s="214">
        <f>P7+1</f>
        <v>2028</v>
      </c>
      <c r="U7" s="214">
        <f>Q7+1</f>
        <v>2028</v>
      </c>
      <c r="V7" s="214">
        <f>R7+1</f>
        <v>2028</v>
      </c>
      <c r="W7" s="214"/>
      <c r="X7" s="214">
        <f>T7+1</f>
        <v>2029</v>
      </c>
      <c r="Y7" s="214">
        <f>U7+1</f>
        <v>2029</v>
      </c>
      <c r="Z7" s="214">
        <f>V7+1</f>
        <v>2029</v>
      </c>
      <c r="AA7" s="403"/>
      <c r="AB7" s="540"/>
      <c r="AC7" s="214"/>
    </row>
    <row r="8" spans="1:35" ht="10.5" customHeight="1" thickBot="1">
      <c r="A8" s="548"/>
      <c r="B8" s="548"/>
      <c r="C8" s="548"/>
      <c r="D8" s="548"/>
      <c r="E8" s="548"/>
      <c r="F8" s="548"/>
      <c r="G8" s="548"/>
      <c r="H8" s="239"/>
      <c r="I8" s="540"/>
      <c r="J8" s="540"/>
      <c r="K8" s="402"/>
      <c r="L8" s="239"/>
      <c r="M8" s="540"/>
      <c r="N8" s="540"/>
      <c r="O8" s="238"/>
      <c r="P8" s="239"/>
      <c r="Q8" s="540"/>
      <c r="R8" s="540"/>
      <c r="S8" s="238"/>
      <c r="T8" s="239"/>
      <c r="U8" s="540"/>
      <c r="V8" s="540"/>
      <c r="W8" s="238"/>
      <c r="X8" s="239"/>
      <c r="Y8" s="540"/>
      <c r="Z8" s="540"/>
      <c r="AA8" s="403"/>
      <c r="AB8" s="540"/>
      <c r="AC8" s="214"/>
    </row>
    <row r="9" spans="1:35" ht="16.5" customHeight="1" thickTop="1" thickBot="1">
      <c r="A9" s="405" t="s">
        <v>47</v>
      </c>
      <c r="B9" s="405"/>
      <c r="C9" s="405"/>
      <c r="D9" s="405"/>
      <c r="E9" s="406">
        <f>H9-1</f>
        <v>2024</v>
      </c>
      <c r="F9" s="406">
        <f>I9-1</f>
        <v>2024</v>
      </c>
      <c r="G9" s="406">
        <f>J9-1</f>
        <v>2024</v>
      </c>
      <c r="H9" s="407">
        <f>Inv.!$V$5</f>
        <v>2025</v>
      </c>
      <c r="I9" s="408">
        <f>H9</f>
        <v>2025</v>
      </c>
      <c r="J9" s="407">
        <f>I9</f>
        <v>2025</v>
      </c>
      <c r="K9" s="409" t="str">
        <f>K5</f>
        <v>Final balance</v>
      </c>
      <c r="L9" s="408">
        <f>N9</f>
        <v>2026</v>
      </c>
      <c r="M9" s="408">
        <f>N9</f>
        <v>2026</v>
      </c>
      <c r="N9" s="407">
        <f>H9+1</f>
        <v>2026</v>
      </c>
      <c r="O9" s="409" t="str">
        <f>O5</f>
        <v>Final balance</v>
      </c>
      <c r="P9" s="408">
        <f>R9</f>
        <v>2027</v>
      </c>
      <c r="Q9" s="408">
        <f>R9</f>
        <v>2027</v>
      </c>
      <c r="R9" s="407">
        <f>N9+1</f>
        <v>2027</v>
      </c>
      <c r="S9" s="409" t="str">
        <f>S5</f>
        <v>Final balance</v>
      </c>
      <c r="T9" s="408">
        <f>V9</f>
        <v>2028</v>
      </c>
      <c r="U9" s="408">
        <f>V9</f>
        <v>2028</v>
      </c>
      <c r="V9" s="407">
        <f>R9+1</f>
        <v>2028</v>
      </c>
      <c r="W9" s="409" t="str">
        <f>W5</f>
        <v>Final balance</v>
      </c>
      <c r="X9" s="408">
        <f>Z9</f>
        <v>2029</v>
      </c>
      <c r="Y9" s="408">
        <f>Z9</f>
        <v>2029</v>
      </c>
      <c r="Z9" s="408">
        <f>V9+1</f>
        <v>2029</v>
      </c>
      <c r="AA9" s="410" t="str">
        <f>AA5</f>
        <v>F/V</v>
      </c>
      <c r="AB9" s="407" t="s">
        <v>26</v>
      </c>
      <c r="AC9" s="408" t="s">
        <v>217</v>
      </c>
    </row>
    <row r="10" spans="1:35" ht="16.5" customHeight="1" thickTop="1">
      <c r="A10" s="411" t="s">
        <v>218</v>
      </c>
      <c r="B10" s="412"/>
      <c r="C10" s="413"/>
      <c r="D10" s="413"/>
      <c r="E10" s="413"/>
      <c r="F10" s="413"/>
      <c r="G10" s="413"/>
      <c r="H10" s="414"/>
      <c r="I10" s="415"/>
      <c r="J10" s="415"/>
      <c r="K10" s="416"/>
      <c r="L10" s="414"/>
      <c r="M10" s="415"/>
      <c r="N10" s="415"/>
      <c r="O10" s="416"/>
      <c r="P10" s="414"/>
      <c r="Q10" s="415"/>
      <c r="R10" s="415"/>
      <c r="S10" s="416"/>
      <c r="T10" s="414"/>
      <c r="U10" s="415"/>
      <c r="V10" s="415"/>
      <c r="W10" s="416"/>
      <c r="X10" s="414"/>
      <c r="Y10" s="415"/>
      <c r="Z10" s="415"/>
      <c r="AA10" s="417"/>
      <c r="AB10" s="415"/>
      <c r="AC10" s="418"/>
    </row>
    <row r="11" spans="1:35" ht="16.5" customHeight="1">
      <c r="A11" s="419" t="str">
        <f t="shared" ref="A11:A17" si="0">A10</f>
        <v>Raw materials and finished products</v>
      </c>
      <c r="B11" s="420"/>
      <c r="C11" s="395" t="str">
        <f>'W. Month'!A14</f>
        <v>Revenues before lunch</v>
      </c>
      <c r="D11" s="2">
        <v>6</v>
      </c>
      <c r="E11" s="421">
        <v>0</v>
      </c>
      <c r="F11" s="403">
        <v>0</v>
      </c>
      <c r="G11" s="403">
        <f t="shared" ref="G11:G15" si="1">E11*F11</f>
        <v>0</v>
      </c>
      <c r="H11" s="421">
        <f>'Controll Panel'!B45</f>
        <v>0.28000000000000003</v>
      </c>
      <c r="I11" s="403">
        <f>'W Plur.'!B107</f>
        <v>365654.54545454541</v>
      </c>
      <c r="J11" s="403">
        <f t="shared" ref="J11:J15" si="2">H11*I11</f>
        <v>102383.27272727272</v>
      </c>
      <c r="K11" s="422">
        <v>0</v>
      </c>
      <c r="L11" s="421">
        <f>'Controll Panel'!C45</f>
        <v>0.28000000000000003</v>
      </c>
      <c r="M11" s="403">
        <f>'W Plur.'!C107</f>
        <v>394906.90909090906</v>
      </c>
      <c r="N11" s="403">
        <f t="shared" ref="N11:N15" si="3">L11*M11</f>
        <v>110573.93454545454</v>
      </c>
      <c r="O11" s="422">
        <v>0</v>
      </c>
      <c r="P11" s="421">
        <f>'Controll Panel'!D45</f>
        <v>0.28000000000000003</v>
      </c>
      <c r="Q11" s="403">
        <f>'W Plur.'!D107</f>
        <v>425183.10545454541</v>
      </c>
      <c r="R11" s="403">
        <f t="shared" ref="R11:R15" si="4">P11*Q11</f>
        <v>119051.26952727273</v>
      </c>
      <c r="S11" s="422">
        <v>0</v>
      </c>
      <c r="T11" s="421">
        <f>'Controll Panel'!E45</f>
        <v>0.28000000000000003</v>
      </c>
      <c r="U11" s="403">
        <f>'W Plur.'!E107</f>
        <v>456512.38690909086</v>
      </c>
      <c r="V11" s="403">
        <f t="shared" ref="V11:V15" si="5">T11*U11</f>
        <v>127823.46833454545</v>
      </c>
      <c r="W11" s="422">
        <v>0</v>
      </c>
      <c r="X11" s="421">
        <f>'Controll Panel'!F45</f>
        <v>0.28000000000000003</v>
      </c>
      <c r="Y11" s="403">
        <f>'W Plur.'!F107</f>
        <v>488924.76637963636</v>
      </c>
      <c r="Z11" s="403">
        <f t="shared" ref="Z11:Z14" si="6">X11*Y11</f>
        <v>136898.93458629819</v>
      </c>
      <c r="AA11" s="403" t="s">
        <v>219</v>
      </c>
      <c r="AB11" s="403" t="s">
        <v>123</v>
      </c>
      <c r="AC11" s="423">
        <f>'Controll Panel'!B9</f>
        <v>0</v>
      </c>
      <c r="AE11" s="392"/>
      <c r="AF11" s="392"/>
      <c r="AG11" s="392"/>
      <c r="AH11" s="392"/>
      <c r="AI11" s="392"/>
    </row>
    <row r="12" spans="1:35" ht="16.5" customHeight="1">
      <c r="A12" s="419" t="str">
        <f t="shared" si="0"/>
        <v>Raw materials and finished products</v>
      </c>
      <c r="B12" s="420"/>
      <c r="C12" s="395" t="str">
        <f>'W. Month'!A15</f>
        <v>Revenues during lunch</v>
      </c>
      <c r="D12" s="2">
        <v>6</v>
      </c>
      <c r="E12" s="421">
        <v>0</v>
      </c>
      <c r="F12" s="403">
        <v>0</v>
      </c>
      <c r="G12" s="403">
        <f t="shared" si="1"/>
        <v>0</v>
      </c>
      <c r="H12" s="421">
        <f>'Controll Panel'!B45</f>
        <v>0.28000000000000003</v>
      </c>
      <c r="I12" s="403">
        <f>'W Plur.'!B108</f>
        <v>258109.09090909088</v>
      </c>
      <c r="J12" s="403">
        <f t="shared" si="2"/>
        <v>72270.545454545456</v>
      </c>
      <c r="K12" s="422">
        <v>0</v>
      </c>
      <c r="L12" s="421">
        <f>'Controll Panel'!C45</f>
        <v>0.28000000000000003</v>
      </c>
      <c r="M12" s="403">
        <f>'W Plur.'!C108</f>
        <v>276434.83636363631</v>
      </c>
      <c r="N12" s="403">
        <f t="shared" si="3"/>
        <v>77401.754181818178</v>
      </c>
      <c r="O12" s="422">
        <v>0</v>
      </c>
      <c r="P12" s="421">
        <f>'Controll Panel'!D45</f>
        <v>0.28000000000000003</v>
      </c>
      <c r="Q12" s="403">
        <f>'W Plur.'!D108</f>
        <v>295390.36799999996</v>
      </c>
      <c r="R12" s="403">
        <f t="shared" si="4"/>
        <v>82709.303039999999</v>
      </c>
      <c r="S12" s="422">
        <v>0</v>
      </c>
      <c r="T12" s="421">
        <f>'Controll Panel'!E45</f>
        <v>0.28000000000000003</v>
      </c>
      <c r="U12" s="403">
        <f>'W Plur.'!E108</f>
        <v>314993.5469672727</v>
      </c>
      <c r="V12" s="403">
        <f t="shared" si="5"/>
        <v>88198.193150836363</v>
      </c>
      <c r="W12" s="422">
        <v>0</v>
      </c>
      <c r="X12" s="421">
        <f>'Controll Panel'!F45</f>
        <v>0.28000000000000003</v>
      </c>
      <c r="Y12" s="403">
        <f>'W Plur.'!F108</f>
        <v>335262.69694603636</v>
      </c>
      <c r="Z12" s="403">
        <f t="shared" si="6"/>
        <v>93873.555144890197</v>
      </c>
      <c r="AA12" s="403" t="s">
        <v>219</v>
      </c>
      <c r="AB12" s="403" t="s">
        <v>123</v>
      </c>
      <c r="AC12" s="423">
        <f>AC11</f>
        <v>0</v>
      </c>
      <c r="AE12" s="392"/>
      <c r="AF12" s="392"/>
      <c r="AG12" s="392"/>
      <c r="AH12" s="392"/>
      <c r="AI12" s="392"/>
    </row>
    <row r="13" spans="1:35" ht="16.5" customHeight="1">
      <c r="A13" s="419" t="str">
        <f t="shared" si="0"/>
        <v>Raw materials and finished products</v>
      </c>
      <c r="B13" s="420"/>
      <c r="C13" s="395" t="str">
        <f>'W. Month'!A16</f>
        <v>Revenues after lunch</v>
      </c>
      <c r="D13" s="2">
        <v>6</v>
      </c>
      <c r="E13" s="421">
        <v>0</v>
      </c>
      <c r="F13" s="403">
        <v>0</v>
      </c>
      <c r="G13" s="403">
        <f t="shared" si="1"/>
        <v>0</v>
      </c>
      <c r="H13" s="421">
        <f>'Controll Panel'!B45</f>
        <v>0.28000000000000003</v>
      </c>
      <c r="I13" s="403">
        <f>'W Plur.'!B109</f>
        <v>92654.545454545456</v>
      </c>
      <c r="J13" s="403">
        <f t="shared" si="2"/>
        <v>25943.272727272732</v>
      </c>
      <c r="K13" s="422">
        <v>0</v>
      </c>
      <c r="L13" s="421">
        <f>'Controll Panel'!C45</f>
        <v>0.28000000000000003</v>
      </c>
      <c r="M13" s="403">
        <f>'W Plur.'!C109</f>
        <v>99233.018181818188</v>
      </c>
      <c r="N13" s="403">
        <f t="shared" si="3"/>
        <v>27785.245090909095</v>
      </c>
      <c r="O13" s="422">
        <v>0</v>
      </c>
      <c r="P13" s="421">
        <f>'Controll Panel'!D45</f>
        <v>0.28000000000000003</v>
      </c>
      <c r="Q13" s="403">
        <f>'W Plur.'!D109</f>
        <v>106037.56800000001</v>
      </c>
      <c r="R13" s="403">
        <f t="shared" si="4"/>
        <v>29690.519040000006</v>
      </c>
      <c r="S13" s="422">
        <v>0</v>
      </c>
      <c r="T13" s="421">
        <f>'Controll Panel'!E45</f>
        <v>0.28000000000000003</v>
      </c>
      <c r="U13" s="403">
        <f>'W Plur.'!E109</f>
        <v>113074.60660363638</v>
      </c>
      <c r="V13" s="403">
        <f t="shared" si="5"/>
        <v>31660.889849018189</v>
      </c>
      <c r="W13" s="422">
        <v>0</v>
      </c>
      <c r="X13" s="421">
        <f>'Controll Panel'!F45</f>
        <v>0.28000000000000003</v>
      </c>
      <c r="Y13" s="403">
        <f>'W Plur.'!F109</f>
        <v>120350.7117242182</v>
      </c>
      <c r="Z13" s="403">
        <f t="shared" si="6"/>
        <v>33698.199282781097</v>
      </c>
      <c r="AA13" s="403" t="s">
        <v>219</v>
      </c>
      <c r="AB13" s="403" t="s">
        <v>123</v>
      </c>
      <c r="AC13" s="423">
        <f t="shared" ref="AC13:AC17" si="7">AC12</f>
        <v>0</v>
      </c>
      <c r="AE13" s="392"/>
      <c r="AF13" s="392"/>
      <c r="AG13" s="392"/>
      <c r="AH13" s="392"/>
      <c r="AI13" s="392"/>
    </row>
    <row r="14" spans="1:35" ht="16.5" customHeight="1">
      <c r="A14" s="419" t="str">
        <f t="shared" si="0"/>
        <v>Raw materials and finished products</v>
      </c>
      <c r="B14" s="420"/>
      <c r="C14" s="395" t="str">
        <f>'W. Month'!A17</f>
        <v>Revenues during dinner</v>
      </c>
      <c r="D14" s="2">
        <v>6</v>
      </c>
      <c r="E14" s="421">
        <v>0</v>
      </c>
      <c r="F14" s="403">
        <v>0</v>
      </c>
      <c r="G14" s="403">
        <f t="shared" si="1"/>
        <v>0</v>
      </c>
      <c r="H14" s="421">
        <f>'Controll Panel'!B45</f>
        <v>0.28000000000000003</v>
      </c>
      <c r="I14" s="403">
        <f>'W Plur.'!B110</f>
        <v>37061.818181818184</v>
      </c>
      <c r="J14" s="403">
        <f t="shared" si="2"/>
        <v>10377.309090909093</v>
      </c>
      <c r="K14" s="422">
        <v>0</v>
      </c>
      <c r="L14" s="421">
        <f>'Controll Panel'!C45</f>
        <v>0.28000000000000003</v>
      </c>
      <c r="M14" s="403">
        <f>'W Plur.'!C110</f>
        <v>37803.054545454543</v>
      </c>
      <c r="N14" s="403">
        <f t="shared" si="3"/>
        <v>10584.855272727273</v>
      </c>
      <c r="O14" s="422">
        <v>0</v>
      </c>
      <c r="P14" s="421">
        <f>'Controll Panel'!D45</f>
        <v>0.28000000000000003</v>
      </c>
      <c r="Q14" s="403">
        <f>'W Plur.'!D110</f>
        <v>38559.115636363633</v>
      </c>
      <c r="R14" s="403">
        <f t="shared" si="4"/>
        <v>10796.552378181817</v>
      </c>
      <c r="S14" s="422">
        <v>0</v>
      </c>
      <c r="T14" s="421">
        <f>'Controll Panel'!E45</f>
        <v>0.28000000000000003</v>
      </c>
      <c r="U14" s="403">
        <f>'W Plur.'!E110</f>
        <v>39330.297949090906</v>
      </c>
      <c r="V14" s="403">
        <f t="shared" si="5"/>
        <v>11012.483425745455</v>
      </c>
      <c r="W14" s="422">
        <v>0</v>
      </c>
      <c r="X14" s="421">
        <f>'Controll Panel'!F45</f>
        <v>0.28000000000000003</v>
      </c>
      <c r="Y14" s="403">
        <f>'W Plur.'!F110</f>
        <v>40116.903908072723</v>
      </c>
      <c r="Z14" s="403">
        <f t="shared" si="6"/>
        <v>11232.733094260364</v>
      </c>
      <c r="AA14" s="403" t="s">
        <v>219</v>
      </c>
      <c r="AB14" s="403" t="s">
        <v>123</v>
      </c>
      <c r="AC14" s="423">
        <f t="shared" si="7"/>
        <v>0</v>
      </c>
    </row>
    <row r="15" spans="1:35" ht="16.5" customHeight="1">
      <c r="A15" s="419" t="str">
        <f t="shared" si="0"/>
        <v>Raw materials and finished products</v>
      </c>
      <c r="B15" s="420"/>
      <c r="C15" s="395" t="s">
        <v>220</v>
      </c>
      <c r="D15" s="2">
        <v>11</v>
      </c>
      <c r="E15" s="424">
        <v>0</v>
      </c>
      <c r="F15" s="403">
        <v>0</v>
      </c>
      <c r="G15" s="403">
        <f t="shared" si="1"/>
        <v>0</v>
      </c>
      <c r="H15" s="424">
        <v>0</v>
      </c>
      <c r="I15" s="403">
        <v>0</v>
      </c>
      <c r="J15" s="403">
        <f t="shared" si="2"/>
        <v>0</v>
      </c>
      <c r="K15" s="422">
        <v>0</v>
      </c>
      <c r="L15" s="424">
        <v>0</v>
      </c>
      <c r="M15" s="403">
        <v>0</v>
      </c>
      <c r="N15" s="403">
        <f t="shared" si="3"/>
        <v>0</v>
      </c>
      <c r="O15" s="422">
        <v>0</v>
      </c>
      <c r="P15" s="424">
        <v>0</v>
      </c>
      <c r="Q15" s="403">
        <v>0</v>
      </c>
      <c r="R15" s="403">
        <f t="shared" si="4"/>
        <v>0</v>
      </c>
      <c r="S15" s="422">
        <v>0</v>
      </c>
      <c r="T15" s="424">
        <v>0</v>
      </c>
      <c r="U15" s="403">
        <v>0</v>
      </c>
      <c r="V15" s="403">
        <f t="shared" si="5"/>
        <v>0</v>
      </c>
      <c r="W15" s="422">
        <v>0</v>
      </c>
      <c r="X15" s="424">
        <f>T15</f>
        <v>0</v>
      </c>
      <c r="Y15" s="403">
        <v>0</v>
      </c>
      <c r="Z15" s="403">
        <f>X15*Y15</f>
        <v>0</v>
      </c>
      <c r="AA15" s="403" t="s">
        <v>219</v>
      </c>
      <c r="AB15" s="403" t="s">
        <v>123</v>
      </c>
      <c r="AC15" s="423">
        <f t="shared" si="7"/>
        <v>0</v>
      </c>
    </row>
    <row r="16" spans="1:35" ht="16.5" customHeight="1">
      <c r="A16" s="419" t="str">
        <f t="shared" si="0"/>
        <v>Raw materials and finished products</v>
      </c>
      <c r="B16" s="420"/>
      <c r="C16" s="395" t="s">
        <v>220</v>
      </c>
      <c r="D16" s="2">
        <v>11</v>
      </c>
      <c r="E16" s="424">
        <v>0</v>
      </c>
      <c r="F16" s="403">
        <v>0</v>
      </c>
      <c r="G16" s="403">
        <f t="shared" ref="G16" si="8">-G15</f>
        <v>0</v>
      </c>
      <c r="H16" s="424">
        <v>0</v>
      </c>
      <c r="I16" s="403">
        <v>0</v>
      </c>
      <c r="J16" s="403">
        <f t="shared" ref="J16:Z16" si="9">-J15</f>
        <v>0</v>
      </c>
      <c r="K16" s="422">
        <f t="shared" si="9"/>
        <v>0</v>
      </c>
      <c r="L16" s="424">
        <v>0</v>
      </c>
      <c r="M16" s="403">
        <v>0</v>
      </c>
      <c r="N16" s="403">
        <f t="shared" si="9"/>
        <v>0</v>
      </c>
      <c r="O16" s="422">
        <f t="shared" si="9"/>
        <v>0</v>
      </c>
      <c r="P16" s="424">
        <v>0</v>
      </c>
      <c r="Q16" s="403">
        <v>0</v>
      </c>
      <c r="R16" s="403">
        <f t="shared" si="9"/>
        <v>0</v>
      </c>
      <c r="S16" s="422">
        <f t="shared" si="9"/>
        <v>0</v>
      </c>
      <c r="T16" s="424">
        <v>0</v>
      </c>
      <c r="U16" s="403">
        <v>0</v>
      </c>
      <c r="V16" s="403">
        <f t="shared" si="9"/>
        <v>0</v>
      </c>
      <c r="W16" s="422">
        <f t="shared" si="9"/>
        <v>0</v>
      </c>
      <c r="X16" s="424">
        <f t="shared" si="9"/>
        <v>0</v>
      </c>
      <c r="Y16" s="403">
        <v>0</v>
      </c>
      <c r="Z16" s="403">
        <f t="shared" si="9"/>
        <v>0</v>
      </c>
      <c r="AA16" s="403" t="s">
        <v>219</v>
      </c>
      <c r="AB16" s="403" t="s">
        <v>123</v>
      </c>
      <c r="AC16" s="423">
        <f t="shared" si="7"/>
        <v>0</v>
      </c>
    </row>
    <row r="17" spans="1:29" ht="16.5" customHeight="1">
      <c r="A17" s="419" t="str">
        <f t="shared" si="0"/>
        <v>Raw materials and finished products</v>
      </c>
      <c r="B17" s="420"/>
      <c r="C17" s="395" t="s">
        <v>124</v>
      </c>
      <c r="D17" s="2">
        <v>6</v>
      </c>
      <c r="E17" s="424">
        <v>0</v>
      </c>
      <c r="F17" s="403">
        <v>0</v>
      </c>
      <c r="G17" s="403">
        <v>0</v>
      </c>
      <c r="H17" s="424">
        <v>0</v>
      </c>
      <c r="I17" s="403">
        <v>0</v>
      </c>
      <c r="J17" s="403">
        <v>0</v>
      </c>
      <c r="K17" s="422">
        <v>0</v>
      </c>
      <c r="L17" s="424">
        <v>0</v>
      </c>
      <c r="M17" s="403">
        <v>0</v>
      </c>
      <c r="N17" s="403">
        <v>0</v>
      </c>
      <c r="O17" s="422">
        <v>0</v>
      </c>
      <c r="P17" s="424">
        <v>0</v>
      </c>
      <c r="Q17" s="403">
        <v>0</v>
      </c>
      <c r="R17" s="403">
        <v>0</v>
      </c>
      <c r="S17" s="422">
        <v>0</v>
      </c>
      <c r="T17" s="424">
        <v>0</v>
      </c>
      <c r="U17" s="403">
        <v>0</v>
      </c>
      <c r="V17" s="403">
        <v>0</v>
      </c>
      <c r="W17" s="422">
        <v>0</v>
      </c>
      <c r="X17" s="424">
        <v>0</v>
      </c>
      <c r="Y17" s="403">
        <v>0</v>
      </c>
      <c r="Z17" s="403">
        <v>0</v>
      </c>
      <c r="AA17" s="403" t="s">
        <v>219</v>
      </c>
      <c r="AB17" s="403" t="s">
        <v>123</v>
      </c>
      <c r="AC17" s="423">
        <f t="shared" si="7"/>
        <v>0</v>
      </c>
    </row>
    <row r="18" spans="1:29" ht="16.5" customHeight="1">
      <c r="A18" s="222" t="s">
        <v>61</v>
      </c>
      <c r="B18" s="222" t="s">
        <v>26</v>
      </c>
      <c r="C18" s="425"/>
      <c r="D18" s="222"/>
      <c r="E18" s="426"/>
      <c r="F18" s="427"/>
      <c r="G18" s="224">
        <f>SUM(G11:G17)</f>
        <v>0</v>
      </c>
      <c r="H18" s="426"/>
      <c r="I18" s="427"/>
      <c r="J18" s="224">
        <f>SUM(J11:J17)</f>
        <v>210974.4</v>
      </c>
      <c r="K18" s="428">
        <f>SUM(K11:K17)</f>
        <v>0</v>
      </c>
      <c r="L18" s="426"/>
      <c r="M18" s="427"/>
      <c r="N18" s="224">
        <f>SUM(N11:N17)</f>
        <v>226345.78909090909</v>
      </c>
      <c r="O18" s="428">
        <f>SUM(O11:O17)</f>
        <v>0</v>
      </c>
      <c r="P18" s="426"/>
      <c r="Q18" s="427"/>
      <c r="R18" s="224">
        <f>SUM(R11:R17)</f>
        <v>242247.64398545455</v>
      </c>
      <c r="S18" s="428">
        <f>SUM(S11:S17)</f>
        <v>0</v>
      </c>
      <c r="T18" s="426"/>
      <c r="U18" s="427"/>
      <c r="V18" s="224">
        <f>SUM(V11:V17)</f>
        <v>258695.03476014547</v>
      </c>
      <c r="W18" s="428">
        <f>SUM(W11:W17)</f>
        <v>0</v>
      </c>
      <c r="X18" s="426"/>
      <c r="Y18" s="427"/>
      <c r="Z18" s="224">
        <f>SUM(Z11:Z17)</f>
        <v>275703.42210822989</v>
      </c>
      <c r="AA18" s="427"/>
      <c r="AB18" s="224"/>
      <c r="AC18" s="429">
        <f>AVERAGE(AC11:AC17)</f>
        <v>0</v>
      </c>
    </row>
    <row r="19" spans="1:29" ht="16.5" customHeight="1">
      <c r="A19" s="548" t="s">
        <v>221</v>
      </c>
      <c r="B19" s="548"/>
      <c r="C19" s="395"/>
      <c r="E19" s="430"/>
      <c r="F19" s="403"/>
      <c r="G19" s="403"/>
      <c r="H19" s="430"/>
      <c r="I19" s="403"/>
      <c r="J19" s="403"/>
      <c r="K19" s="431"/>
      <c r="L19" s="430"/>
      <c r="M19" s="403"/>
      <c r="N19" s="403"/>
      <c r="O19" s="431"/>
      <c r="P19" s="430"/>
      <c r="Q19" s="403"/>
      <c r="R19" s="403"/>
      <c r="S19" s="431"/>
      <c r="T19" s="430"/>
      <c r="U19" s="403"/>
      <c r="V19" s="403"/>
      <c r="W19" s="431"/>
      <c r="X19" s="430"/>
      <c r="Y19" s="403"/>
      <c r="Z19" s="403"/>
      <c r="AA19" s="403"/>
      <c r="AB19" s="403"/>
      <c r="AC19" s="432"/>
    </row>
    <row r="20" spans="1:29" ht="16.5" customHeight="1">
      <c r="A20" s="419" t="str">
        <f>A19</f>
        <v>Others and Disposable</v>
      </c>
      <c r="B20" s="420"/>
      <c r="C20" s="395" t="s">
        <v>222</v>
      </c>
      <c r="D20" s="2">
        <v>7</v>
      </c>
      <c r="E20" s="421">
        <v>0</v>
      </c>
      <c r="F20" s="433">
        <v>0</v>
      </c>
      <c r="G20" s="403">
        <f t="shared" ref="G20:G23" si="10">F20*E20</f>
        <v>0</v>
      </c>
      <c r="H20" s="430">
        <v>12</v>
      </c>
      <c r="I20" s="433">
        <v>200</v>
      </c>
      <c r="J20" s="403">
        <f t="shared" ref="J20:J23" si="11">I20*H20</f>
        <v>2400</v>
      </c>
      <c r="K20" s="422">
        <v>0</v>
      </c>
      <c r="L20" s="430">
        <v>12</v>
      </c>
      <c r="M20" s="433">
        <f>I20*(1+'Controll Panel'!C35)</f>
        <v>214</v>
      </c>
      <c r="N20" s="403">
        <f t="shared" ref="N20" si="12">M20*L20</f>
        <v>2568</v>
      </c>
      <c r="O20" s="422">
        <v>0</v>
      </c>
      <c r="P20" s="430">
        <v>12</v>
      </c>
      <c r="Q20" s="433">
        <f>M20*(1+'Controll Panel'!D35)</f>
        <v>224.70000000000002</v>
      </c>
      <c r="R20" s="403">
        <f t="shared" ref="R20" si="13">Q20*P20</f>
        <v>2696.4</v>
      </c>
      <c r="S20" s="422">
        <v>0</v>
      </c>
      <c r="T20" s="430">
        <v>12</v>
      </c>
      <c r="U20" s="433">
        <f>Q20*(1+'Controll Panel'!E35)</f>
        <v>235.93500000000003</v>
      </c>
      <c r="V20" s="403">
        <f t="shared" ref="V20" si="14">U20*T20</f>
        <v>2831.2200000000003</v>
      </c>
      <c r="W20" s="422">
        <v>0</v>
      </c>
      <c r="X20" s="430">
        <v>12</v>
      </c>
      <c r="Y20" s="433">
        <f>U20*(1+'Controll Panel'!F35)</f>
        <v>247.73175000000003</v>
      </c>
      <c r="Z20" s="403">
        <f t="shared" ref="Z20" si="15">Y20*X20</f>
        <v>2972.7810000000004</v>
      </c>
      <c r="AA20" s="403" t="s">
        <v>219</v>
      </c>
      <c r="AB20" s="403" t="s">
        <v>123</v>
      </c>
      <c r="AC20" s="423">
        <f>AC18</f>
        <v>0</v>
      </c>
    </row>
    <row r="21" spans="1:29" ht="16.5" customHeight="1">
      <c r="A21" s="419" t="str">
        <f>A20</f>
        <v>Others and Disposable</v>
      </c>
      <c r="B21" s="420"/>
      <c r="C21" s="395" t="s">
        <v>169</v>
      </c>
      <c r="D21" s="2">
        <v>7</v>
      </c>
      <c r="E21" s="430">
        <v>0</v>
      </c>
      <c r="F21" s="433">
        <v>0</v>
      </c>
      <c r="G21" s="403">
        <f t="shared" si="10"/>
        <v>0</v>
      </c>
      <c r="H21" s="430">
        <v>1</v>
      </c>
      <c r="I21" s="433">
        <v>0</v>
      </c>
      <c r="J21" s="403">
        <f t="shared" si="11"/>
        <v>0</v>
      </c>
      <c r="K21" s="422">
        <v>0</v>
      </c>
      <c r="L21" s="430">
        <v>1</v>
      </c>
      <c r="M21" s="433">
        <v>0</v>
      </c>
      <c r="N21" s="403">
        <f>M21*L21</f>
        <v>0</v>
      </c>
      <c r="O21" s="422">
        <v>0</v>
      </c>
      <c r="P21" s="430">
        <v>1</v>
      </c>
      <c r="Q21" s="433">
        <v>0</v>
      </c>
      <c r="R21" s="403">
        <f>Q21*P21</f>
        <v>0</v>
      </c>
      <c r="S21" s="422">
        <v>0</v>
      </c>
      <c r="T21" s="430">
        <v>1</v>
      </c>
      <c r="U21" s="433">
        <v>0</v>
      </c>
      <c r="V21" s="403">
        <f>U21*T21</f>
        <v>0</v>
      </c>
      <c r="W21" s="422">
        <v>0</v>
      </c>
      <c r="X21" s="430">
        <v>1</v>
      </c>
      <c r="Y21" s="433">
        <v>0</v>
      </c>
      <c r="Z21" s="403">
        <f>Y21*X21</f>
        <v>0</v>
      </c>
      <c r="AA21" s="403" t="s">
        <v>219</v>
      </c>
      <c r="AB21" s="403" t="s">
        <v>123</v>
      </c>
      <c r="AC21" s="423">
        <f t="shared" ref="AC21:AC23" si="16">AC19</f>
        <v>0</v>
      </c>
    </row>
    <row r="22" spans="1:29" ht="16.5" customHeight="1">
      <c r="A22" s="419" t="str">
        <f>A21</f>
        <v>Others and Disposable</v>
      </c>
      <c r="B22" s="420"/>
      <c r="C22" s="395" t="s">
        <v>169</v>
      </c>
      <c r="D22" s="2">
        <v>7</v>
      </c>
      <c r="E22" s="430">
        <v>0</v>
      </c>
      <c r="F22" s="433">
        <v>0</v>
      </c>
      <c r="G22" s="403">
        <f t="shared" si="10"/>
        <v>0</v>
      </c>
      <c r="H22" s="430">
        <v>1</v>
      </c>
      <c r="I22" s="433">
        <v>0</v>
      </c>
      <c r="J22" s="403">
        <f t="shared" si="11"/>
        <v>0</v>
      </c>
      <c r="K22" s="422">
        <v>0</v>
      </c>
      <c r="L22" s="430">
        <v>1</v>
      </c>
      <c r="M22" s="433">
        <v>0</v>
      </c>
      <c r="N22" s="403">
        <f>M22*L22</f>
        <v>0</v>
      </c>
      <c r="O22" s="422">
        <v>0</v>
      </c>
      <c r="P22" s="430">
        <v>1</v>
      </c>
      <c r="Q22" s="433">
        <v>0</v>
      </c>
      <c r="R22" s="403">
        <f>Q22*P22</f>
        <v>0</v>
      </c>
      <c r="S22" s="422">
        <v>0</v>
      </c>
      <c r="T22" s="430">
        <v>1</v>
      </c>
      <c r="U22" s="433">
        <v>0</v>
      </c>
      <c r="V22" s="403">
        <f>U22*T22</f>
        <v>0</v>
      </c>
      <c r="W22" s="422">
        <v>0</v>
      </c>
      <c r="X22" s="430">
        <v>1</v>
      </c>
      <c r="Y22" s="433">
        <v>0</v>
      </c>
      <c r="Z22" s="403">
        <f>Y22*X22</f>
        <v>0</v>
      </c>
      <c r="AA22" s="403" t="s">
        <v>219</v>
      </c>
      <c r="AB22" s="403" t="s">
        <v>123</v>
      </c>
      <c r="AC22" s="423">
        <f t="shared" si="16"/>
        <v>0</v>
      </c>
    </row>
    <row r="23" spans="1:29" ht="16.5" customHeight="1">
      <c r="A23" s="419" t="str">
        <f>A22</f>
        <v>Others and Disposable</v>
      </c>
      <c r="B23" s="420"/>
      <c r="C23" s="395" t="s">
        <v>169</v>
      </c>
      <c r="D23" s="2">
        <v>7</v>
      </c>
      <c r="E23" s="430">
        <v>0</v>
      </c>
      <c r="F23" s="433">
        <v>0</v>
      </c>
      <c r="G23" s="403">
        <f t="shared" si="10"/>
        <v>0</v>
      </c>
      <c r="H23" s="430">
        <v>1</v>
      </c>
      <c r="I23" s="433">
        <v>0</v>
      </c>
      <c r="J23" s="403">
        <f t="shared" si="11"/>
        <v>0</v>
      </c>
      <c r="K23" s="422">
        <v>0</v>
      </c>
      <c r="L23" s="430">
        <v>1</v>
      </c>
      <c r="M23" s="433">
        <v>0</v>
      </c>
      <c r="N23" s="403">
        <f>M23*L23</f>
        <v>0</v>
      </c>
      <c r="O23" s="422">
        <v>0</v>
      </c>
      <c r="P23" s="430">
        <v>1</v>
      </c>
      <c r="Q23" s="433">
        <v>0</v>
      </c>
      <c r="R23" s="403">
        <f>Q23*P23</f>
        <v>0</v>
      </c>
      <c r="S23" s="422">
        <v>0</v>
      </c>
      <c r="T23" s="430">
        <v>1</v>
      </c>
      <c r="U23" s="433">
        <v>0</v>
      </c>
      <c r="V23" s="403">
        <f>U23*T23</f>
        <v>0</v>
      </c>
      <c r="W23" s="422">
        <v>0</v>
      </c>
      <c r="X23" s="430">
        <v>1</v>
      </c>
      <c r="Y23" s="433">
        <v>0</v>
      </c>
      <c r="Z23" s="403">
        <f>Y23*X23</f>
        <v>0</v>
      </c>
      <c r="AA23" s="403" t="s">
        <v>219</v>
      </c>
      <c r="AB23" s="403" t="s">
        <v>123</v>
      </c>
      <c r="AC23" s="423">
        <f t="shared" si="16"/>
        <v>0</v>
      </c>
    </row>
    <row r="24" spans="1:29" ht="16.5" customHeight="1">
      <c r="A24" s="222" t="s">
        <v>80</v>
      </c>
      <c r="B24" s="222" t="s">
        <v>26</v>
      </c>
      <c r="C24" s="425"/>
      <c r="D24" s="222"/>
      <c r="E24" s="426"/>
      <c r="F24" s="224"/>
      <c r="G24" s="224">
        <f>SUM(G20:G23)</f>
        <v>0</v>
      </c>
      <c r="H24" s="426"/>
      <c r="I24" s="224"/>
      <c r="J24" s="224">
        <f>SUM(J20:J23)</f>
        <v>2400</v>
      </c>
      <c r="K24" s="428">
        <f>SUM(K20:K23)</f>
        <v>0</v>
      </c>
      <c r="L24" s="227"/>
      <c r="M24" s="224"/>
      <c r="N24" s="224">
        <f>SUM(N20:N23)</f>
        <v>2568</v>
      </c>
      <c r="O24" s="428">
        <f>SUM(O20:O23)</f>
        <v>0</v>
      </c>
      <c r="P24" s="227"/>
      <c r="Q24" s="224"/>
      <c r="R24" s="224">
        <f>SUM(R20:R23)</f>
        <v>2696.4</v>
      </c>
      <c r="S24" s="428">
        <f>SUM(S20:S23)</f>
        <v>0</v>
      </c>
      <c r="T24" s="227"/>
      <c r="U24" s="224"/>
      <c r="V24" s="224">
        <f>SUM(V20:V23)</f>
        <v>2831.2200000000003</v>
      </c>
      <c r="W24" s="428">
        <f>SUM(W20:W23)</f>
        <v>0</v>
      </c>
      <c r="X24" s="227"/>
      <c r="Y24" s="224"/>
      <c r="Z24" s="224">
        <f>SUM(Z20:Z23)</f>
        <v>2972.7810000000004</v>
      </c>
      <c r="AA24" s="427"/>
      <c r="AB24" s="224"/>
      <c r="AC24" s="423">
        <f>AVERAGE(AC20:AC23)</f>
        <v>0</v>
      </c>
    </row>
    <row r="25" spans="1:29" s="65" customFormat="1" ht="16.5" customHeight="1" thickBot="1">
      <c r="D25" s="434"/>
      <c r="E25" s="435"/>
      <c r="F25" s="435"/>
      <c r="G25" s="435"/>
      <c r="H25" s="435"/>
      <c r="I25" s="435"/>
      <c r="J25" s="435"/>
      <c r="K25" s="436"/>
      <c r="L25" s="435"/>
      <c r="M25" s="435"/>
      <c r="N25" s="435"/>
      <c r="O25" s="436"/>
      <c r="P25" s="435"/>
      <c r="Q25" s="435"/>
      <c r="R25" s="435"/>
      <c r="S25" s="436"/>
      <c r="T25" s="435"/>
      <c r="U25" s="435"/>
      <c r="V25" s="435"/>
      <c r="W25" s="436"/>
      <c r="X25" s="435"/>
      <c r="Y25" s="435"/>
      <c r="Z25" s="435"/>
      <c r="AA25" s="437"/>
      <c r="AB25" s="435"/>
      <c r="AC25" s="434"/>
    </row>
    <row r="26" spans="1:29" s="63" customFormat="1" ht="16.5" customHeight="1" thickTop="1" thickBot="1">
      <c r="A26" s="438" t="str">
        <f>"Totale "&amp;A9</f>
        <v>Totale COGS</v>
      </c>
      <c r="B26" s="438"/>
      <c r="C26" s="438"/>
      <c r="D26" s="439"/>
      <c r="E26" s="440"/>
      <c r="F26" s="440"/>
      <c r="G26" s="441" t="e">
        <f>#REF!+#REF!+G24+G18</f>
        <v>#REF!</v>
      </c>
      <c r="H26" s="440"/>
      <c r="I26" s="440"/>
      <c r="J26" s="441">
        <f>J24+J18</f>
        <v>213374.4</v>
      </c>
      <c r="K26" s="442">
        <f>K24+K18</f>
        <v>0</v>
      </c>
      <c r="L26" s="440"/>
      <c r="M26" s="440"/>
      <c r="N26" s="441">
        <f>N24+N18</f>
        <v>228913.78909090909</v>
      </c>
      <c r="O26" s="442">
        <f>O24+O18</f>
        <v>0</v>
      </c>
      <c r="P26" s="440"/>
      <c r="Q26" s="440"/>
      <c r="R26" s="441">
        <f>R24+R18</f>
        <v>244944.04398545454</v>
      </c>
      <c r="S26" s="442">
        <f>S24+S18</f>
        <v>0</v>
      </c>
      <c r="T26" s="440"/>
      <c r="U26" s="440"/>
      <c r="V26" s="441">
        <f>V24+V18</f>
        <v>261526.25476014547</v>
      </c>
      <c r="W26" s="442">
        <f>W24+W18</f>
        <v>0</v>
      </c>
      <c r="X26" s="440"/>
      <c r="Y26" s="440"/>
      <c r="Z26" s="441">
        <f>Z24+Z18</f>
        <v>278676.20310822991</v>
      </c>
      <c r="AA26" s="442"/>
      <c r="AB26" s="440"/>
      <c r="AC26" s="440"/>
    </row>
    <row r="27" spans="1:29" s="65" customFormat="1" ht="16.5" customHeight="1" thickTop="1" thickBot="1">
      <c r="D27" s="443"/>
      <c r="E27" s="444"/>
      <c r="F27" s="444"/>
      <c r="G27" s="444"/>
      <c r="H27" s="444"/>
      <c r="I27" s="444"/>
      <c r="J27" s="444"/>
      <c r="K27" s="445"/>
      <c r="L27" s="444"/>
      <c r="M27" s="444"/>
      <c r="N27" s="444"/>
      <c r="O27" s="445"/>
      <c r="P27" s="444"/>
      <c r="Q27" s="444"/>
      <c r="R27" s="444"/>
      <c r="S27" s="445"/>
      <c r="T27" s="444"/>
      <c r="U27" s="444"/>
      <c r="V27" s="444"/>
      <c r="W27" s="445"/>
      <c r="X27" s="444"/>
      <c r="Y27" s="444"/>
      <c r="Z27" s="444"/>
      <c r="AA27" s="446"/>
      <c r="AB27" s="444"/>
      <c r="AC27" s="443"/>
    </row>
    <row r="28" spans="1:29" s="2" customFormat="1" ht="16.5" customHeight="1" thickTop="1" thickBot="1">
      <c r="A28" s="405" t="s">
        <v>223</v>
      </c>
      <c r="B28" s="405"/>
      <c r="C28" s="405"/>
      <c r="D28" s="405"/>
      <c r="E28" s="408" t="e">
        <f>#REF!</f>
        <v>#REF!</v>
      </c>
      <c r="F28" s="408" t="e">
        <f>#REF!</f>
        <v>#REF!</v>
      </c>
      <c r="G28" s="408" t="e">
        <f>#REF!</f>
        <v>#REF!</v>
      </c>
      <c r="H28" s="407">
        <f>H9</f>
        <v>2025</v>
      </c>
      <c r="I28" s="407">
        <f t="shared" ref="I28:AC28" si="17">I9</f>
        <v>2025</v>
      </c>
      <c r="J28" s="407">
        <f t="shared" si="17"/>
        <v>2025</v>
      </c>
      <c r="K28" s="447" t="str">
        <f t="shared" si="17"/>
        <v>Final balance</v>
      </c>
      <c r="L28" s="407">
        <f t="shared" si="17"/>
        <v>2026</v>
      </c>
      <c r="M28" s="407">
        <f t="shared" si="17"/>
        <v>2026</v>
      </c>
      <c r="N28" s="407">
        <f t="shared" si="17"/>
        <v>2026</v>
      </c>
      <c r="O28" s="447" t="str">
        <f t="shared" si="17"/>
        <v>Final balance</v>
      </c>
      <c r="P28" s="407">
        <f t="shared" si="17"/>
        <v>2027</v>
      </c>
      <c r="Q28" s="407">
        <f t="shared" si="17"/>
        <v>2027</v>
      </c>
      <c r="R28" s="407">
        <f t="shared" si="17"/>
        <v>2027</v>
      </c>
      <c r="S28" s="447" t="str">
        <f t="shared" si="17"/>
        <v>Final balance</v>
      </c>
      <c r="T28" s="407">
        <f t="shared" si="17"/>
        <v>2028</v>
      </c>
      <c r="U28" s="407">
        <f t="shared" si="17"/>
        <v>2028</v>
      </c>
      <c r="V28" s="407">
        <f t="shared" si="17"/>
        <v>2028</v>
      </c>
      <c r="W28" s="447" t="str">
        <f t="shared" si="17"/>
        <v>Final balance</v>
      </c>
      <c r="X28" s="407">
        <f t="shared" si="17"/>
        <v>2029</v>
      </c>
      <c r="Y28" s="407">
        <f t="shared" si="17"/>
        <v>2029</v>
      </c>
      <c r="Z28" s="407">
        <f t="shared" si="17"/>
        <v>2029</v>
      </c>
      <c r="AA28" s="407" t="str">
        <f t="shared" si="17"/>
        <v>F/V</v>
      </c>
      <c r="AB28" s="407" t="str">
        <f t="shared" si="17"/>
        <v>//</v>
      </c>
      <c r="AC28" s="407" t="str">
        <f t="shared" si="17"/>
        <v>Ξ</v>
      </c>
    </row>
    <row r="29" spans="1:29" s="2" customFormat="1" ht="16.5" customHeight="1" thickTop="1">
      <c r="A29" s="548" t="s">
        <v>224</v>
      </c>
      <c r="B29" s="548"/>
      <c r="G29" s="42"/>
      <c r="J29" s="42"/>
      <c r="K29" s="448"/>
      <c r="N29" s="42"/>
      <c r="O29" s="448"/>
      <c r="R29" s="42"/>
      <c r="S29" s="448"/>
      <c r="V29" s="42"/>
      <c r="W29" s="448"/>
      <c r="Z29" s="42"/>
      <c r="AA29" s="395"/>
    </row>
    <row r="30" spans="1:29" s="2" customFormat="1" ht="16.5" customHeight="1">
      <c r="A30" s="419" t="str">
        <f>A29</f>
        <v>Sales costs</v>
      </c>
      <c r="B30" s="420"/>
      <c r="C30" s="395" t="s">
        <v>225</v>
      </c>
      <c r="D30" s="2">
        <v>7</v>
      </c>
      <c r="E30" s="449">
        <v>0</v>
      </c>
      <c r="F30" s="450">
        <v>0</v>
      </c>
      <c r="G30" s="403">
        <f>E30*F30</f>
        <v>0</v>
      </c>
      <c r="H30" s="449">
        <v>1</v>
      </c>
      <c r="I30" s="450">
        <v>0</v>
      </c>
      <c r="J30" s="403">
        <f>H30*I30</f>
        <v>0</v>
      </c>
      <c r="K30" s="451">
        <v>0</v>
      </c>
      <c r="L30" s="449">
        <v>1</v>
      </c>
      <c r="M30" s="450">
        <v>0</v>
      </c>
      <c r="N30" s="403">
        <f>L30*M30</f>
        <v>0</v>
      </c>
      <c r="O30" s="451">
        <v>0</v>
      </c>
      <c r="P30" s="449">
        <v>1</v>
      </c>
      <c r="Q30" s="450">
        <v>0</v>
      </c>
      <c r="R30" s="403">
        <f>P30*Q30</f>
        <v>0</v>
      </c>
      <c r="S30" s="451">
        <v>0</v>
      </c>
      <c r="T30" s="449">
        <v>1</v>
      </c>
      <c r="U30" s="450">
        <v>0</v>
      </c>
      <c r="V30" s="403">
        <f>T30*U30</f>
        <v>0</v>
      </c>
      <c r="W30" s="451">
        <v>0</v>
      </c>
      <c r="X30" s="449">
        <v>1</v>
      </c>
      <c r="Y30" s="450">
        <v>0</v>
      </c>
      <c r="Z30" s="403">
        <f>X30*Y30</f>
        <v>0</v>
      </c>
      <c r="AA30" s="395" t="s">
        <v>219</v>
      </c>
      <c r="AB30" s="403" t="s">
        <v>123</v>
      </c>
      <c r="AC30" s="452">
        <f>'Controll Panel'!B10</f>
        <v>0</v>
      </c>
    </row>
    <row r="31" spans="1:29" s="2" customFormat="1" ht="16.5" customHeight="1">
      <c r="A31" s="419" t="str">
        <f t="shared" ref="A31:A35" si="18">A30</f>
        <v>Sales costs</v>
      </c>
      <c r="B31" s="420"/>
      <c r="C31" s="395" t="s">
        <v>226</v>
      </c>
      <c r="D31" s="2">
        <v>7</v>
      </c>
      <c r="E31" s="449">
        <v>0</v>
      </c>
      <c r="F31" s="450">
        <v>0</v>
      </c>
      <c r="G31" s="403">
        <f>E31*F31</f>
        <v>0</v>
      </c>
      <c r="H31" s="453">
        <v>3.5000000000000003E-2</v>
      </c>
      <c r="I31" s="450">
        <f>J18</f>
        <v>210974.4</v>
      </c>
      <c r="J31" s="403">
        <f>H31*I31</f>
        <v>7384.1040000000003</v>
      </c>
      <c r="K31" s="451">
        <v>0</v>
      </c>
      <c r="L31" s="453">
        <f>H31</f>
        <v>3.5000000000000003E-2</v>
      </c>
      <c r="M31" s="450">
        <f>N18</f>
        <v>226345.78909090909</v>
      </c>
      <c r="N31" s="403">
        <f>L31*M31</f>
        <v>7922.1026181818188</v>
      </c>
      <c r="O31" s="451">
        <v>0</v>
      </c>
      <c r="P31" s="453">
        <f>L31</f>
        <v>3.5000000000000003E-2</v>
      </c>
      <c r="Q31" s="450">
        <f>R18</f>
        <v>242247.64398545455</v>
      </c>
      <c r="R31" s="403">
        <f>P31*Q31</f>
        <v>8478.6675394909107</v>
      </c>
      <c r="S31" s="451">
        <v>0</v>
      </c>
      <c r="T31" s="453">
        <f>P31</f>
        <v>3.5000000000000003E-2</v>
      </c>
      <c r="U31" s="450">
        <f>V18</f>
        <v>258695.03476014547</v>
      </c>
      <c r="V31" s="403">
        <f>T31*U31</f>
        <v>9054.3262166050918</v>
      </c>
      <c r="W31" s="451">
        <v>0</v>
      </c>
      <c r="X31" s="453">
        <f>T31</f>
        <v>3.5000000000000003E-2</v>
      </c>
      <c r="Y31" s="450">
        <f>Z18</f>
        <v>275703.42210822989</v>
      </c>
      <c r="Z31" s="403">
        <f>X31*Y31</f>
        <v>9649.6197737880466</v>
      </c>
      <c r="AA31" s="395" t="s">
        <v>219</v>
      </c>
      <c r="AB31" s="403" t="s">
        <v>123</v>
      </c>
      <c r="AC31" s="452">
        <f>AC30</f>
        <v>0</v>
      </c>
    </row>
    <row r="32" spans="1:29" s="2" customFormat="1" ht="16.5" customHeight="1">
      <c r="A32" s="419" t="str">
        <f t="shared" si="18"/>
        <v>Sales costs</v>
      </c>
      <c r="B32" s="420"/>
      <c r="C32" s="395" t="s">
        <v>227</v>
      </c>
      <c r="D32" s="2">
        <v>7</v>
      </c>
      <c r="E32" s="453">
        <v>0</v>
      </c>
      <c r="F32" s="450">
        <v>1</v>
      </c>
      <c r="G32" s="403">
        <f t="shared" ref="G32:G35" si="19">E32*F32</f>
        <v>0</v>
      </c>
      <c r="H32" s="449">
        <v>12</v>
      </c>
      <c r="I32" s="450">
        <v>1000</v>
      </c>
      <c r="J32" s="403">
        <f t="shared" ref="J32:J35" si="20">H32*I32</f>
        <v>12000</v>
      </c>
      <c r="K32" s="451">
        <v>0</v>
      </c>
      <c r="L32" s="449">
        <v>12</v>
      </c>
      <c r="M32" s="450">
        <v>1000</v>
      </c>
      <c r="N32" s="403">
        <f t="shared" ref="N32:N33" si="21">L32*M32</f>
        <v>12000</v>
      </c>
      <c r="O32" s="451">
        <v>0</v>
      </c>
      <c r="P32" s="449">
        <v>12</v>
      </c>
      <c r="Q32" s="450">
        <v>1000</v>
      </c>
      <c r="R32" s="403">
        <f t="shared" ref="R32:R33" si="22">P32*Q32</f>
        <v>12000</v>
      </c>
      <c r="S32" s="451">
        <v>0</v>
      </c>
      <c r="T32" s="449">
        <v>12</v>
      </c>
      <c r="U32" s="450">
        <v>1000</v>
      </c>
      <c r="V32" s="403">
        <f t="shared" ref="V32:V33" si="23">T32*U32</f>
        <v>12000</v>
      </c>
      <c r="W32" s="451">
        <v>0</v>
      </c>
      <c r="X32" s="449">
        <v>12</v>
      </c>
      <c r="Y32" s="450">
        <v>1000</v>
      </c>
      <c r="Z32" s="403">
        <f t="shared" ref="Z32:Z33" si="24">X32*Y32</f>
        <v>12000</v>
      </c>
      <c r="AA32" s="395" t="s">
        <v>228</v>
      </c>
      <c r="AB32" s="403" t="s">
        <v>123</v>
      </c>
      <c r="AC32" s="395">
        <f t="shared" ref="AC32:AC35" si="25">AC31</f>
        <v>0</v>
      </c>
    </row>
    <row r="33" spans="1:29" s="2" customFormat="1" ht="16.5" customHeight="1">
      <c r="A33" s="419" t="str">
        <f t="shared" si="18"/>
        <v>Sales costs</v>
      </c>
      <c r="B33" s="420"/>
      <c r="C33" s="395" t="s">
        <v>229</v>
      </c>
      <c r="D33" s="2">
        <v>7</v>
      </c>
      <c r="E33" s="449">
        <v>0</v>
      </c>
      <c r="F33" s="450">
        <v>0</v>
      </c>
      <c r="G33" s="403">
        <f t="shared" si="19"/>
        <v>0</v>
      </c>
      <c r="H33" s="449">
        <v>12</v>
      </c>
      <c r="I33" s="450">
        <v>250</v>
      </c>
      <c r="J33" s="403">
        <f t="shared" si="20"/>
        <v>3000</v>
      </c>
      <c r="K33" s="451">
        <v>0</v>
      </c>
      <c r="L33" s="449">
        <v>12</v>
      </c>
      <c r="M33" s="450">
        <v>250</v>
      </c>
      <c r="N33" s="403">
        <f t="shared" si="21"/>
        <v>3000</v>
      </c>
      <c r="O33" s="451">
        <v>0</v>
      </c>
      <c r="P33" s="449">
        <v>12</v>
      </c>
      <c r="Q33" s="450">
        <v>300</v>
      </c>
      <c r="R33" s="403">
        <f t="shared" si="22"/>
        <v>3600</v>
      </c>
      <c r="S33" s="451">
        <v>0</v>
      </c>
      <c r="T33" s="449">
        <v>12</v>
      </c>
      <c r="U33" s="450">
        <v>300</v>
      </c>
      <c r="V33" s="403">
        <f t="shared" si="23"/>
        <v>3600</v>
      </c>
      <c r="W33" s="451">
        <v>0</v>
      </c>
      <c r="X33" s="449">
        <v>12</v>
      </c>
      <c r="Y33" s="450">
        <v>300</v>
      </c>
      <c r="Z33" s="403">
        <f t="shared" si="24"/>
        <v>3600</v>
      </c>
      <c r="AA33" s="395" t="s">
        <v>228</v>
      </c>
      <c r="AB33" s="403" t="s">
        <v>123</v>
      </c>
      <c r="AC33" s="395">
        <f t="shared" si="25"/>
        <v>0</v>
      </c>
    </row>
    <row r="34" spans="1:29" s="2" customFormat="1" ht="16.5" customHeight="1">
      <c r="A34" s="419" t="e">
        <f>#REF!</f>
        <v>#REF!</v>
      </c>
      <c r="B34" s="420"/>
      <c r="C34" s="395" t="s">
        <v>124</v>
      </c>
      <c r="D34" s="2">
        <v>7</v>
      </c>
      <c r="E34" s="449">
        <v>1</v>
      </c>
      <c r="F34" s="450">
        <v>0</v>
      </c>
      <c r="G34" s="403">
        <f t="shared" si="19"/>
        <v>0</v>
      </c>
      <c r="H34" s="449">
        <v>0</v>
      </c>
      <c r="I34" s="450">
        <v>0</v>
      </c>
      <c r="J34" s="403">
        <f t="shared" si="20"/>
        <v>0</v>
      </c>
      <c r="K34" s="451">
        <v>0</v>
      </c>
      <c r="L34" s="449">
        <v>0</v>
      </c>
      <c r="M34" s="450">
        <v>0</v>
      </c>
      <c r="N34" s="403">
        <f t="shared" ref="N34:N35" si="26">L34*M34</f>
        <v>0</v>
      </c>
      <c r="O34" s="451">
        <v>0</v>
      </c>
      <c r="P34" s="449">
        <v>0</v>
      </c>
      <c r="Q34" s="450">
        <v>0</v>
      </c>
      <c r="R34" s="403">
        <f t="shared" ref="R34:R35" si="27">P34*Q34</f>
        <v>0</v>
      </c>
      <c r="S34" s="451">
        <v>0</v>
      </c>
      <c r="T34" s="449">
        <v>0</v>
      </c>
      <c r="U34" s="450">
        <v>0</v>
      </c>
      <c r="V34" s="403">
        <f t="shared" ref="V34:V35" si="28">T34*U34</f>
        <v>0</v>
      </c>
      <c r="W34" s="451">
        <v>0</v>
      </c>
      <c r="X34" s="449">
        <v>0</v>
      </c>
      <c r="Y34" s="450">
        <v>0</v>
      </c>
      <c r="Z34" s="403">
        <f t="shared" ref="Z34:Z35" si="29">X34*Y34</f>
        <v>0</v>
      </c>
      <c r="AA34" s="395" t="s">
        <v>228</v>
      </c>
      <c r="AB34" s="403" t="s">
        <v>123</v>
      </c>
      <c r="AC34" s="395">
        <f t="shared" si="25"/>
        <v>0</v>
      </c>
    </row>
    <row r="35" spans="1:29" s="2" customFormat="1" ht="16.5" customHeight="1">
      <c r="A35" s="419" t="e">
        <f t="shared" si="18"/>
        <v>#REF!</v>
      </c>
      <c r="B35" s="420"/>
      <c r="C35" s="395" t="s">
        <v>124</v>
      </c>
      <c r="D35" s="2">
        <v>7</v>
      </c>
      <c r="E35" s="449">
        <v>0</v>
      </c>
      <c r="F35" s="450">
        <v>0</v>
      </c>
      <c r="G35" s="403">
        <f t="shared" si="19"/>
        <v>0</v>
      </c>
      <c r="H35" s="449">
        <v>0</v>
      </c>
      <c r="I35" s="450">
        <v>0</v>
      </c>
      <c r="J35" s="403">
        <f t="shared" si="20"/>
        <v>0</v>
      </c>
      <c r="K35" s="451">
        <v>0</v>
      </c>
      <c r="L35" s="449">
        <v>0</v>
      </c>
      <c r="M35" s="450">
        <v>0</v>
      </c>
      <c r="N35" s="403">
        <f t="shared" si="26"/>
        <v>0</v>
      </c>
      <c r="O35" s="451">
        <v>0</v>
      </c>
      <c r="P35" s="449">
        <v>0</v>
      </c>
      <c r="Q35" s="450">
        <v>0</v>
      </c>
      <c r="R35" s="403">
        <f t="shared" si="27"/>
        <v>0</v>
      </c>
      <c r="S35" s="451">
        <v>0</v>
      </c>
      <c r="T35" s="449">
        <v>0</v>
      </c>
      <c r="U35" s="450">
        <v>0</v>
      </c>
      <c r="V35" s="403">
        <f t="shared" si="28"/>
        <v>0</v>
      </c>
      <c r="W35" s="451">
        <v>0</v>
      </c>
      <c r="X35" s="449">
        <v>0</v>
      </c>
      <c r="Y35" s="450">
        <v>0</v>
      </c>
      <c r="Z35" s="403">
        <f t="shared" si="29"/>
        <v>0</v>
      </c>
      <c r="AA35" s="395" t="s">
        <v>228</v>
      </c>
      <c r="AB35" s="403" t="s">
        <v>123</v>
      </c>
      <c r="AC35" s="395">
        <f t="shared" si="25"/>
        <v>0</v>
      </c>
    </row>
    <row r="36" spans="1:29" s="2" customFormat="1" ht="16.5" customHeight="1">
      <c r="A36" s="222" t="s">
        <v>80</v>
      </c>
      <c r="B36" s="222"/>
      <c r="C36" s="425"/>
      <c r="D36" s="222"/>
      <c r="E36" s="227"/>
      <c r="F36" s="224"/>
      <c r="G36" s="224">
        <f>SUM(G30:G35)</f>
        <v>0</v>
      </c>
      <c r="H36" s="227"/>
      <c r="I36" s="224"/>
      <c r="J36" s="224">
        <f>SUM(J30:J35)</f>
        <v>22384.103999999999</v>
      </c>
      <c r="K36" s="428">
        <f>SUM(K30:K35)</f>
        <v>0</v>
      </c>
      <c r="L36" s="227"/>
      <c r="M36" s="224"/>
      <c r="N36" s="224">
        <f>SUM(N30:N35)</f>
        <v>22922.10261818182</v>
      </c>
      <c r="O36" s="428">
        <f>SUM(O30:O35)</f>
        <v>0</v>
      </c>
      <c r="P36" s="227"/>
      <c r="Q36" s="224"/>
      <c r="R36" s="224">
        <f>SUM(R30:R35)</f>
        <v>24078.667539490911</v>
      </c>
      <c r="S36" s="428">
        <f>SUM(S30:S35)</f>
        <v>0</v>
      </c>
      <c r="T36" s="227"/>
      <c r="U36" s="224"/>
      <c r="V36" s="224">
        <f>SUM(V30:V35)</f>
        <v>24654.326216605092</v>
      </c>
      <c r="W36" s="428">
        <f>SUM(W30:W35)</f>
        <v>0</v>
      </c>
      <c r="X36" s="227"/>
      <c r="Y36" s="224"/>
      <c r="Z36" s="224">
        <f>SUM(Z30:Z35)</f>
        <v>25249.619773788047</v>
      </c>
      <c r="AA36" s="427"/>
      <c r="AB36" s="427"/>
      <c r="AC36" s="454">
        <f>AVERAGE(AC30:AC35)</f>
        <v>0</v>
      </c>
    </row>
    <row r="37" spans="1:29" s="2" customFormat="1" ht="16.5" customHeight="1">
      <c r="A37" s="548" t="s">
        <v>230</v>
      </c>
      <c r="B37" s="548"/>
      <c r="C37" s="65"/>
      <c r="D37" s="331"/>
      <c r="E37" s="65"/>
      <c r="F37" s="65"/>
      <c r="G37" s="65"/>
      <c r="H37" s="65"/>
      <c r="I37" s="65"/>
      <c r="J37" s="65"/>
      <c r="K37" s="455"/>
      <c r="L37" s="65"/>
      <c r="M37" s="65"/>
      <c r="N37" s="65"/>
      <c r="O37" s="455"/>
      <c r="P37" s="65"/>
      <c r="Q37" s="65"/>
      <c r="R37" s="65"/>
      <c r="S37" s="455"/>
      <c r="T37" s="65"/>
      <c r="U37" s="65"/>
      <c r="V37" s="65"/>
      <c r="W37" s="455"/>
      <c r="X37" s="65"/>
      <c r="Y37" s="65"/>
      <c r="Z37" s="65"/>
      <c r="AA37" s="456"/>
      <c r="AB37" s="65"/>
      <c r="AC37" s="331"/>
    </row>
    <row r="38" spans="1:29" s="2" customFormat="1" ht="16.5" customHeight="1">
      <c r="A38" s="419" t="str">
        <f>A37</f>
        <v>Utilities</v>
      </c>
      <c r="B38" s="420"/>
      <c r="C38" s="395" t="s">
        <v>231</v>
      </c>
      <c r="D38" s="2">
        <v>7</v>
      </c>
      <c r="E38" s="449">
        <v>0</v>
      </c>
      <c r="F38" s="450">
        <v>0</v>
      </c>
      <c r="G38" s="403">
        <f>E38*F38</f>
        <v>0</v>
      </c>
      <c r="H38" s="449">
        <v>12</v>
      </c>
      <c r="I38" s="450">
        <v>1750</v>
      </c>
      <c r="J38" s="403">
        <f>H38*I38</f>
        <v>21000</v>
      </c>
      <c r="K38" s="451">
        <v>0</v>
      </c>
      <c r="L38" s="449">
        <v>12</v>
      </c>
      <c r="M38" s="450">
        <f>I38*(1+'Controll Panel'!C35)</f>
        <v>1872.5</v>
      </c>
      <c r="N38" s="403">
        <f>L38*M38</f>
        <v>22470</v>
      </c>
      <c r="O38" s="451">
        <v>0</v>
      </c>
      <c r="P38" s="449">
        <v>12</v>
      </c>
      <c r="Q38" s="450">
        <f>M38*(1+'Controll Panel'!D35)</f>
        <v>1966.125</v>
      </c>
      <c r="R38" s="403">
        <f>P38*Q38</f>
        <v>23593.5</v>
      </c>
      <c r="S38" s="451">
        <v>0</v>
      </c>
      <c r="T38" s="449">
        <v>12</v>
      </c>
      <c r="U38" s="450">
        <f>Q38*(1+'Controll Panel'!E35)</f>
        <v>2064.4312500000001</v>
      </c>
      <c r="V38" s="403">
        <f>T38*U38</f>
        <v>24773.175000000003</v>
      </c>
      <c r="W38" s="451">
        <v>0</v>
      </c>
      <c r="X38" s="449">
        <v>12</v>
      </c>
      <c r="Y38" s="450">
        <f>U38*(1+'Controll Panel'!F35)</f>
        <v>2167.6528125</v>
      </c>
      <c r="Z38" s="403">
        <f>X38*Y38</f>
        <v>26011.833749999998</v>
      </c>
      <c r="AA38" s="421" t="s">
        <v>219</v>
      </c>
      <c r="AB38" s="403" t="s">
        <v>123</v>
      </c>
      <c r="AC38" s="452">
        <f>AC30</f>
        <v>0</v>
      </c>
    </row>
    <row r="39" spans="1:29" s="2" customFormat="1" ht="16.5" customHeight="1">
      <c r="A39" s="419" t="str">
        <f t="shared" ref="A39:A41" si="30">A38</f>
        <v>Utilities</v>
      </c>
      <c r="B39" s="420"/>
      <c r="C39" s="395" t="s">
        <v>232</v>
      </c>
      <c r="D39" s="2">
        <v>7</v>
      </c>
      <c r="E39" s="449">
        <v>0</v>
      </c>
      <c r="F39" s="450">
        <v>0</v>
      </c>
      <c r="G39" s="403">
        <v>0</v>
      </c>
      <c r="H39" s="449">
        <v>12</v>
      </c>
      <c r="I39" s="450">
        <v>300</v>
      </c>
      <c r="J39" s="403">
        <f>H39*I39</f>
        <v>3600</v>
      </c>
      <c r="K39" s="451">
        <v>0</v>
      </c>
      <c r="L39" s="449">
        <v>12</v>
      </c>
      <c r="M39" s="450">
        <f>I39*(1+'Controll Panel'!C35)</f>
        <v>321</v>
      </c>
      <c r="N39" s="403">
        <f>L39*M39</f>
        <v>3852</v>
      </c>
      <c r="O39" s="451">
        <v>0</v>
      </c>
      <c r="P39" s="449">
        <v>12</v>
      </c>
      <c r="Q39" s="450">
        <f>M39*(1+'Controll Panel'!D35)</f>
        <v>337.05</v>
      </c>
      <c r="R39" s="403">
        <f>P39*Q39</f>
        <v>4044.6000000000004</v>
      </c>
      <c r="S39" s="451">
        <v>0</v>
      </c>
      <c r="T39" s="449">
        <v>12</v>
      </c>
      <c r="U39" s="450">
        <f>Q39*(1+'Controll Panel'!E35)</f>
        <v>353.90250000000003</v>
      </c>
      <c r="V39" s="403">
        <f>T39*U39</f>
        <v>4246.83</v>
      </c>
      <c r="W39" s="451">
        <v>0</v>
      </c>
      <c r="X39" s="449">
        <v>12</v>
      </c>
      <c r="Y39" s="450">
        <f>U39*(1+'Controll Panel'!F35)</f>
        <v>371.59762500000005</v>
      </c>
      <c r="Z39" s="403">
        <f>X39*Y39</f>
        <v>4459.1715000000004</v>
      </c>
      <c r="AA39" s="421" t="s">
        <v>219</v>
      </c>
      <c r="AB39" s="403" t="s">
        <v>123</v>
      </c>
      <c r="AC39" s="452">
        <f>AC38</f>
        <v>0</v>
      </c>
    </row>
    <row r="40" spans="1:29" s="2" customFormat="1" ht="16.5" customHeight="1">
      <c r="A40" s="419" t="str">
        <f t="shared" si="30"/>
        <v>Utilities</v>
      </c>
      <c r="B40" s="420"/>
      <c r="C40" s="395" t="s">
        <v>233</v>
      </c>
      <c r="D40" s="2">
        <v>7</v>
      </c>
      <c r="E40" s="449">
        <v>0</v>
      </c>
      <c r="F40" s="450">
        <v>0</v>
      </c>
      <c r="G40" s="403">
        <v>0</v>
      </c>
      <c r="H40" s="449">
        <v>12</v>
      </c>
      <c r="I40" s="450">
        <v>300</v>
      </c>
      <c r="J40" s="403">
        <f>H40*I40</f>
        <v>3600</v>
      </c>
      <c r="K40" s="451">
        <v>0</v>
      </c>
      <c r="L40" s="449">
        <v>12</v>
      </c>
      <c r="M40" s="450">
        <v>300</v>
      </c>
      <c r="N40" s="403">
        <f>L40*M40</f>
        <v>3600</v>
      </c>
      <c r="O40" s="451">
        <v>0</v>
      </c>
      <c r="P40" s="449">
        <v>12</v>
      </c>
      <c r="Q40" s="450">
        <v>300</v>
      </c>
      <c r="R40" s="403">
        <f>P40*Q40</f>
        <v>3600</v>
      </c>
      <c r="S40" s="451">
        <v>0</v>
      </c>
      <c r="T40" s="449">
        <v>12</v>
      </c>
      <c r="U40" s="450">
        <v>300</v>
      </c>
      <c r="V40" s="403">
        <f>T40*U40</f>
        <v>3600</v>
      </c>
      <c r="W40" s="451">
        <v>0</v>
      </c>
      <c r="X40" s="449">
        <v>12</v>
      </c>
      <c r="Y40" s="450">
        <v>300</v>
      </c>
      <c r="Z40" s="403">
        <f>X40*Y40</f>
        <v>3600</v>
      </c>
      <c r="AA40" s="421" t="s">
        <v>219</v>
      </c>
      <c r="AB40" s="403" t="s">
        <v>123</v>
      </c>
      <c r="AC40" s="395">
        <f t="shared" ref="AC40:AC41" si="31">AC39</f>
        <v>0</v>
      </c>
    </row>
    <row r="41" spans="1:29" s="2" customFormat="1" ht="16.5" customHeight="1">
      <c r="A41" s="419" t="str">
        <f t="shared" si="30"/>
        <v>Utilities</v>
      </c>
      <c r="B41" s="419"/>
      <c r="C41" s="395" t="s">
        <v>124</v>
      </c>
      <c r="D41" s="2">
        <v>7</v>
      </c>
      <c r="E41" s="449">
        <v>0</v>
      </c>
      <c r="F41" s="450">
        <v>0</v>
      </c>
      <c r="G41" s="403">
        <v>0</v>
      </c>
      <c r="H41" s="449">
        <v>0</v>
      </c>
      <c r="I41" s="450">
        <v>0</v>
      </c>
      <c r="J41" s="403">
        <v>0</v>
      </c>
      <c r="K41" s="451">
        <v>0</v>
      </c>
      <c r="L41" s="449">
        <v>0</v>
      </c>
      <c r="M41" s="450">
        <v>0</v>
      </c>
      <c r="N41" s="403">
        <v>0</v>
      </c>
      <c r="O41" s="451">
        <v>0</v>
      </c>
      <c r="P41" s="449">
        <v>0</v>
      </c>
      <c r="Q41" s="450">
        <v>0</v>
      </c>
      <c r="R41" s="403">
        <v>0</v>
      </c>
      <c r="S41" s="451">
        <v>0</v>
      </c>
      <c r="T41" s="449">
        <v>0</v>
      </c>
      <c r="U41" s="450">
        <v>0</v>
      </c>
      <c r="V41" s="403">
        <v>0</v>
      </c>
      <c r="W41" s="451">
        <v>0</v>
      </c>
      <c r="X41" s="449">
        <v>0</v>
      </c>
      <c r="Y41" s="450">
        <v>0</v>
      </c>
      <c r="Z41" s="403">
        <v>0</v>
      </c>
      <c r="AA41" s="421" t="s">
        <v>228</v>
      </c>
      <c r="AB41" s="403" t="s">
        <v>123</v>
      </c>
      <c r="AC41" s="395">
        <f t="shared" si="31"/>
        <v>0</v>
      </c>
    </row>
    <row r="42" spans="1:29" s="2" customFormat="1" ht="16.5" customHeight="1">
      <c r="A42" s="222" t="s">
        <v>80</v>
      </c>
      <c r="B42" s="222"/>
      <c r="C42" s="425"/>
      <c r="D42" s="222"/>
      <c r="E42" s="227"/>
      <c r="F42" s="224"/>
      <c r="G42" s="224">
        <f>SUM(G38:G41)</f>
        <v>0</v>
      </c>
      <c r="H42" s="227"/>
      <c r="I42" s="224"/>
      <c r="J42" s="224">
        <f>SUM(J38:J41)</f>
        <v>28200</v>
      </c>
      <c r="K42" s="428">
        <f>SUM(K38:K41)</f>
        <v>0</v>
      </c>
      <c r="L42" s="227"/>
      <c r="M42" s="224"/>
      <c r="N42" s="224">
        <f>SUM(N38:N41)</f>
        <v>29922</v>
      </c>
      <c r="O42" s="428">
        <f>SUM(O38:O41)</f>
        <v>0</v>
      </c>
      <c r="P42" s="227"/>
      <c r="Q42" s="224"/>
      <c r="R42" s="224">
        <f>SUM(R38:R41)</f>
        <v>31238.1</v>
      </c>
      <c r="S42" s="428">
        <f>SUM(S38:S41)</f>
        <v>0</v>
      </c>
      <c r="T42" s="227"/>
      <c r="U42" s="224"/>
      <c r="V42" s="224">
        <f>SUM(V38:V41)</f>
        <v>32620.005000000005</v>
      </c>
      <c r="W42" s="428">
        <f>SUM(W38:W41)</f>
        <v>0</v>
      </c>
      <c r="X42" s="227"/>
      <c r="Y42" s="224"/>
      <c r="Z42" s="224">
        <f>SUM(Z38:Z41)</f>
        <v>34071.005250000002</v>
      </c>
      <c r="AA42" s="427"/>
      <c r="AB42" s="427"/>
      <c r="AC42" s="454">
        <f>AVERAGE(AC38:AC41)</f>
        <v>0</v>
      </c>
    </row>
    <row r="43" spans="1:29" s="2" customFormat="1" ht="16.5" customHeight="1">
      <c r="A43" s="548" t="s">
        <v>132</v>
      </c>
      <c r="B43" s="548"/>
      <c r="C43" s="65"/>
      <c r="D43" s="331"/>
      <c r="E43" s="65"/>
      <c r="F43" s="65"/>
      <c r="G43" s="65"/>
      <c r="H43" s="65"/>
      <c r="I43" s="65"/>
      <c r="J43" s="65"/>
      <c r="K43" s="455"/>
      <c r="L43" s="65"/>
      <c r="M43" s="65"/>
      <c r="N43" s="65"/>
      <c r="O43" s="455"/>
      <c r="P43" s="65"/>
      <c r="Q43" s="65"/>
      <c r="R43" s="65"/>
      <c r="S43" s="455"/>
      <c r="T43" s="65"/>
      <c r="U43" s="65"/>
      <c r="V43" s="65"/>
      <c r="W43" s="455"/>
      <c r="X43" s="65"/>
      <c r="Y43" s="65"/>
      <c r="Z43" s="65"/>
      <c r="AA43" s="456"/>
      <c r="AB43" s="65"/>
      <c r="AC43" s="331"/>
    </row>
    <row r="44" spans="1:29" s="2" customFormat="1" ht="16.5" customHeight="1">
      <c r="A44" s="419" t="str">
        <f>A43</f>
        <v>Marketing</v>
      </c>
      <c r="B44" s="419"/>
      <c r="C44" s="395" t="s">
        <v>234</v>
      </c>
      <c r="D44" s="2">
        <v>7</v>
      </c>
      <c r="E44" s="449">
        <v>0</v>
      </c>
      <c r="F44" s="450">
        <v>0</v>
      </c>
      <c r="G44" s="403">
        <f>E44*F44</f>
        <v>0</v>
      </c>
      <c r="H44" s="449">
        <v>12</v>
      </c>
      <c r="I44" s="450">
        <v>500</v>
      </c>
      <c r="J44" s="403">
        <f>H44*I44</f>
        <v>6000</v>
      </c>
      <c r="K44" s="451">
        <v>0</v>
      </c>
      <c r="L44" s="449">
        <v>12</v>
      </c>
      <c r="M44" s="450">
        <v>500</v>
      </c>
      <c r="N44" s="403">
        <f>L44*M44</f>
        <v>6000</v>
      </c>
      <c r="O44" s="451">
        <v>0</v>
      </c>
      <c r="P44" s="449">
        <v>12</v>
      </c>
      <c r="Q44" s="450">
        <v>600</v>
      </c>
      <c r="R44" s="403">
        <f>P44*Q44</f>
        <v>7200</v>
      </c>
      <c r="S44" s="451">
        <v>0</v>
      </c>
      <c r="T44" s="449">
        <v>12</v>
      </c>
      <c r="U44" s="450">
        <v>600</v>
      </c>
      <c r="V44" s="403">
        <f>T44*U44</f>
        <v>7200</v>
      </c>
      <c r="W44" s="451">
        <v>0</v>
      </c>
      <c r="X44" s="449">
        <v>12</v>
      </c>
      <c r="Y44" s="450">
        <v>600</v>
      </c>
      <c r="Z44" s="403">
        <f>X44*Y44</f>
        <v>7200</v>
      </c>
      <c r="AA44" s="395" t="s">
        <v>228</v>
      </c>
      <c r="AB44" s="403" t="s">
        <v>123</v>
      </c>
      <c r="AC44" s="452">
        <f>AC38</f>
        <v>0</v>
      </c>
    </row>
    <row r="45" spans="1:29" s="2" customFormat="1" ht="16.5" customHeight="1">
      <c r="A45" s="419" t="str">
        <f t="shared" ref="A45:A47" si="32">A44</f>
        <v>Marketing</v>
      </c>
      <c r="B45" s="419"/>
      <c r="C45" s="395" t="s">
        <v>235</v>
      </c>
      <c r="D45" s="2">
        <v>7</v>
      </c>
      <c r="E45" s="449">
        <v>0</v>
      </c>
      <c r="F45" s="450">
        <v>0</v>
      </c>
      <c r="G45" s="403">
        <f t="shared" ref="G45:G47" si="33">E45*F45</f>
        <v>0</v>
      </c>
      <c r="H45" s="449">
        <v>12</v>
      </c>
      <c r="I45" s="450">
        <v>500</v>
      </c>
      <c r="J45" s="403">
        <f t="shared" ref="J45:J47" si="34">H45*I45</f>
        <v>6000</v>
      </c>
      <c r="K45" s="451">
        <v>0</v>
      </c>
      <c r="L45" s="449">
        <v>12</v>
      </c>
      <c r="M45" s="450">
        <v>500</v>
      </c>
      <c r="N45" s="403">
        <f t="shared" ref="N45" si="35">L45*M45</f>
        <v>6000</v>
      </c>
      <c r="O45" s="451">
        <v>0</v>
      </c>
      <c r="P45" s="449">
        <v>12</v>
      </c>
      <c r="Q45" s="450">
        <v>600</v>
      </c>
      <c r="R45" s="403">
        <f t="shared" ref="R45" si="36">P45*Q45</f>
        <v>7200</v>
      </c>
      <c r="S45" s="451">
        <v>0</v>
      </c>
      <c r="T45" s="449">
        <v>12</v>
      </c>
      <c r="U45" s="450">
        <v>600</v>
      </c>
      <c r="V45" s="403">
        <f t="shared" ref="V45" si="37">T45*U45</f>
        <v>7200</v>
      </c>
      <c r="W45" s="451">
        <v>0</v>
      </c>
      <c r="X45" s="449">
        <v>12</v>
      </c>
      <c r="Y45" s="450">
        <v>600</v>
      </c>
      <c r="Z45" s="403">
        <f t="shared" ref="Z45" si="38">X45*Y45</f>
        <v>7200</v>
      </c>
      <c r="AA45" s="395" t="s">
        <v>228</v>
      </c>
      <c r="AB45" s="403" t="s">
        <v>123</v>
      </c>
      <c r="AC45" s="395">
        <f>AC44</f>
        <v>0</v>
      </c>
    </row>
    <row r="46" spans="1:29" s="2" customFormat="1" ht="16.5" customHeight="1">
      <c r="A46" s="419" t="str">
        <f t="shared" si="32"/>
        <v>Marketing</v>
      </c>
      <c r="B46" s="419"/>
      <c r="C46" s="395" t="s">
        <v>124</v>
      </c>
      <c r="D46" s="2">
        <v>7</v>
      </c>
      <c r="E46" s="449">
        <v>0</v>
      </c>
      <c r="F46" s="450">
        <v>0</v>
      </c>
      <c r="G46" s="403">
        <f t="shared" si="33"/>
        <v>0</v>
      </c>
      <c r="H46" s="449">
        <v>1</v>
      </c>
      <c r="I46" s="450">
        <v>0</v>
      </c>
      <c r="J46" s="403">
        <f t="shared" si="34"/>
        <v>0</v>
      </c>
      <c r="K46" s="451">
        <v>0</v>
      </c>
      <c r="L46" s="449">
        <v>1</v>
      </c>
      <c r="M46" s="450">
        <v>0</v>
      </c>
      <c r="N46" s="403">
        <f t="shared" ref="N46:N47" si="39">L46*M46</f>
        <v>0</v>
      </c>
      <c r="O46" s="451">
        <v>0</v>
      </c>
      <c r="P46" s="449">
        <v>1</v>
      </c>
      <c r="Q46" s="450">
        <v>0</v>
      </c>
      <c r="R46" s="403">
        <f t="shared" ref="R46:R47" si="40">P46*Q46</f>
        <v>0</v>
      </c>
      <c r="S46" s="451">
        <v>0</v>
      </c>
      <c r="T46" s="449">
        <v>1</v>
      </c>
      <c r="U46" s="450">
        <v>0</v>
      </c>
      <c r="V46" s="403">
        <f t="shared" ref="V46:V47" si="41">T46*U46</f>
        <v>0</v>
      </c>
      <c r="W46" s="451">
        <v>0</v>
      </c>
      <c r="X46" s="449">
        <v>1</v>
      </c>
      <c r="Y46" s="450">
        <v>0</v>
      </c>
      <c r="Z46" s="403">
        <f t="shared" ref="Z46:Z47" si="42">X46*Y46</f>
        <v>0</v>
      </c>
      <c r="AA46" s="395" t="s">
        <v>228</v>
      </c>
      <c r="AB46" s="403" t="s">
        <v>123</v>
      </c>
      <c r="AC46" s="395">
        <f t="shared" ref="AC46:AC47" si="43">AC45</f>
        <v>0</v>
      </c>
    </row>
    <row r="47" spans="1:29" s="2" customFormat="1" ht="16.5" customHeight="1">
      <c r="A47" s="419" t="str">
        <f t="shared" si="32"/>
        <v>Marketing</v>
      </c>
      <c r="B47" s="419"/>
      <c r="C47" s="395" t="s">
        <v>124</v>
      </c>
      <c r="D47" s="2">
        <v>7</v>
      </c>
      <c r="E47" s="449">
        <v>0</v>
      </c>
      <c r="F47" s="450">
        <v>0</v>
      </c>
      <c r="G47" s="403">
        <f t="shared" si="33"/>
        <v>0</v>
      </c>
      <c r="H47" s="449">
        <v>0</v>
      </c>
      <c r="I47" s="450">
        <v>0</v>
      </c>
      <c r="J47" s="403">
        <f t="shared" si="34"/>
        <v>0</v>
      </c>
      <c r="K47" s="451">
        <v>0</v>
      </c>
      <c r="L47" s="449">
        <v>0</v>
      </c>
      <c r="M47" s="450">
        <v>0</v>
      </c>
      <c r="N47" s="403">
        <f t="shared" si="39"/>
        <v>0</v>
      </c>
      <c r="O47" s="451">
        <v>0</v>
      </c>
      <c r="P47" s="449">
        <v>0</v>
      </c>
      <c r="Q47" s="450">
        <v>0</v>
      </c>
      <c r="R47" s="403">
        <f t="shared" si="40"/>
        <v>0</v>
      </c>
      <c r="S47" s="451">
        <v>0</v>
      </c>
      <c r="T47" s="449">
        <v>0</v>
      </c>
      <c r="U47" s="450">
        <v>0</v>
      </c>
      <c r="V47" s="403">
        <f t="shared" si="41"/>
        <v>0</v>
      </c>
      <c r="W47" s="451">
        <v>0</v>
      </c>
      <c r="X47" s="449">
        <v>0</v>
      </c>
      <c r="Y47" s="450">
        <v>0</v>
      </c>
      <c r="Z47" s="403">
        <f t="shared" si="42"/>
        <v>0</v>
      </c>
      <c r="AA47" s="395" t="s">
        <v>228</v>
      </c>
      <c r="AB47" s="403" t="s">
        <v>123</v>
      </c>
      <c r="AC47" s="395">
        <f t="shared" si="43"/>
        <v>0</v>
      </c>
    </row>
    <row r="48" spans="1:29" s="2" customFormat="1" ht="16.5" customHeight="1">
      <c r="A48" s="222" t="s">
        <v>80</v>
      </c>
      <c r="B48" s="222"/>
      <c r="C48" s="425"/>
      <c r="D48" s="222"/>
      <c r="E48" s="227"/>
      <c r="F48" s="224"/>
      <c r="G48" s="224">
        <f>SUM(G44:G47)</f>
        <v>0</v>
      </c>
      <c r="H48" s="227"/>
      <c r="I48" s="224"/>
      <c r="J48" s="224">
        <f>SUM(J44:J47)</f>
        <v>12000</v>
      </c>
      <c r="K48" s="428">
        <f>SUM(K44:K47)</f>
        <v>0</v>
      </c>
      <c r="L48" s="227"/>
      <c r="M48" s="224"/>
      <c r="N48" s="224">
        <f>SUM(N44:N47)</f>
        <v>12000</v>
      </c>
      <c r="O48" s="428">
        <f>SUM(O44:O47)</f>
        <v>0</v>
      </c>
      <c r="P48" s="227"/>
      <c r="Q48" s="224"/>
      <c r="R48" s="224">
        <f>SUM(R44:R47)</f>
        <v>14400</v>
      </c>
      <c r="S48" s="428">
        <f>SUM(S44:S47)</f>
        <v>0</v>
      </c>
      <c r="T48" s="227"/>
      <c r="U48" s="224"/>
      <c r="V48" s="224">
        <f>SUM(V44:V47)</f>
        <v>14400</v>
      </c>
      <c r="W48" s="428">
        <f>SUM(W44:W47)</f>
        <v>0</v>
      </c>
      <c r="X48" s="227"/>
      <c r="Y48" s="224"/>
      <c r="Z48" s="224">
        <f>SUM(Z44:Z47)</f>
        <v>14400</v>
      </c>
      <c r="AA48" s="427"/>
      <c r="AB48" s="427"/>
      <c r="AC48" s="454">
        <f>AVERAGE(AC44:AC47)</f>
        <v>0</v>
      </c>
    </row>
    <row r="49" spans="1:29" s="2" customFormat="1" ht="16.5" customHeight="1">
      <c r="A49" s="548" t="s">
        <v>236</v>
      </c>
      <c r="B49" s="548"/>
      <c r="C49" s="65"/>
      <c r="D49" s="331"/>
      <c r="E49" s="65"/>
      <c r="F49" s="65"/>
      <c r="G49" s="65"/>
      <c r="H49" s="65"/>
      <c r="I49" s="65"/>
      <c r="J49" s="65"/>
      <c r="K49" s="455"/>
      <c r="L49" s="457"/>
      <c r="M49" s="65"/>
      <c r="N49" s="65"/>
      <c r="O49" s="455"/>
      <c r="P49" s="65"/>
      <c r="Q49" s="65"/>
      <c r="R49" s="65"/>
      <c r="S49" s="455"/>
      <c r="T49" s="65"/>
      <c r="U49" s="65"/>
      <c r="V49" s="65"/>
      <c r="W49" s="455"/>
      <c r="X49" s="65"/>
      <c r="Y49" s="65"/>
      <c r="Z49" s="65"/>
      <c r="AA49" s="456"/>
      <c r="AB49" s="65"/>
      <c r="AC49" s="331"/>
    </row>
    <row r="50" spans="1:29" s="2" customFormat="1" ht="16.5" customHeight="1">
      <c r="A50" s="419" t="str">
        <f>A49</f>
        <v>Banking costs</v>
      </c>
      <c r="B50" s="458"/>
      <c r="C50" s="395" t="s">
        <v>237</v>
      </c>
      <c r="D50" s="2">
        <v>7</v>
      </c>
      <c r="E50" s="449">
        <v>0</v>
      </c>
      <c r="F50" s="450">
        <v>0</v>
      </c>
      <c r="G50" s="403">
        <f>E50*F50</f>
        <v>0</v>
      </c>
      <c r="H50" s="449">
        <v>12</v>
      </c>
      <c r="I50" s="450">
        <v>90</v>
      </c>
      <c r="J50" s="403">
        <f>H50*I50</f>
        <v>1080</v>
      </c>
      <c r="K50" s="451">
        <v>0</v>
      </c>
      <c r="L50" s="449">
        <v>12</v>
      </c>
      <c r="M50" s="450">
        <v>90</v>
      </c>
      <c r="N50" s="403">
        <f>L50*M50</f>
        <v>1080</v>
      </c>
      <c r="O50" s="451">
        <v>0</v>
      </c>
      <c r="P50" s="449">
        <v>12</v>
      </c>
      <c r="Q50" s="450">
        <v>90</v>
      </c>
      <c r="R50" s="403">
        <f>P50*Q50</f>
        <v>1080</v>
      </c>
      <c r="S50" s="451">
        <v>0</v>
      </c>
      <c r="T50" s="449">
        <v>12</v>
      </c>
      <c r="U50" s="450">
        <v>90</v>
      </c>
      <c r="V50" s="403">
        <f>T50*U50</f>
        <v>1080</v>
      </c>
      <c r="W50" s="451">
        <v>0</v>
      </c>
      <c r="X50" s="449">
        <v>12</v>
      </c>
      <c r="Y50" s="450">
        <v>90</v>
      </c>
      <c r="Z50" s="403">
        <f>X50*Y50</f>
        <v>1080</v>
      </c>
      <c r="AA50" s="403" t="s">
        <v>228</v>
      </c>
      <c r="AB50" s="403" t="s">
        <v>123</v>
      </c>
      <c r="AC50" s="452">
        <f>AC30</f>
        <v>0</v>
      </c>
    </row>
    <row r="51" spans="1:29" s="2" customFormat="1" ht="16.5" customHeight="1">
      <c r="A51" s="419" t="str">
        <f t="shared" ref="A51" si="44">A50</f>
        <v>Banking costs</v>
      </c>
      <c r="B51" s="419"/>
      <c r="C51" s="395" t="s">
        <v>124</v>
      </c>
      <c r="D51" s="2">
        <v>7</v>
      </c>
      <c r="E51" s="449">
        <v>0</v>
      </c>
      <c r="F51" s="450">
        <v>0</v>
      </c>
      <c r="G51" s="403">
        <f t="shared" ref="G51" si="45">E51*F51</f>
        <v>0</v>
      </c>
      <c r="H51" s="449">
        <v>0</v>
      </c>
      <c r="I51" s="450">
        <v>0</v>
      </c>
      <c r="J51" s="403">
        <f t="shared" ref="J51" si="46">H51*I51</f>
        <v>0</v>
      </c>
      <c r="K51" s="451">
        <v>0</v>
      </c>
      <c r="L51" s="449">
        <v>0</v>
      </c>
      <c r="M51" s="450">
        <v>0</v>
      </c>
      <c r="N51" s="403">
        <f t="shared" ref="N51" si="47">J51*1.1</f>
        <v>0</v>
      </c>
      <c r="O51" s="451">
        <v>0</v>
      </c>
      <c r="P51" s="449">
        <v>0</v>
      </c>
      <c r="Q51" s="450">
        <v>0</v>
      </c>
      <c r="R51" s="403">
        <f t="shared" ref="R51" si="48">N51*1.1</f>
        <v>0</v>
      </c>
      <c r="S51" s="451">
        <v>0</v>
      </c>
      <c r="T51" s="449">
        <v>0</v>
      </c>
      <c r="U51" s="450">
        <v>0</v>
      </c>
      <c r="V51" s="403">
        <f t="shared" ref="V51" si="49">R51*1.1</f>
        <v>0</v>
      </c>
      <c r="W51" s="451">
        <v>0</v>
      </c>
      <c r="X51" s="449">
        <v>0</v>
      </c>
      <c r="Y51" s="450">
        <v>0</v>
      </c>
      <c r="Z51" s="403">
        <f t="shared" ref="Z51" si="50">V51*1.1</f>
        <v>0</v>
      </c>
      <c r="AA51" s="395" t="s">
        <v>228</v>
      </c>
      <c r="AB51" s="403" t="s">
        <v>123</v>
      </c>
      <c r="AC51" s="395">
        <f>AC50</f>
        <v>0</v>
      </c>
    </row>
    <row r="52" spans="1:29" s="2" customFormat="1" ht="16.5" customHeight="1">
      <c r="A52" s="222" t="s">
        <v>80</v>
      </c>
      <c r="B52" s="222"/>
      <c r="C52" s="425"/>
      <c r="D52" s="222"/>
      <c r="E52" s="227"/>
      <c r="F52" s="224"/>
      <c r="G52" s="224">
        <f>SUM(G50:G51)</f>
        <v>0</v>
      </c>
      <c r="H52" s="227"/>
      <c r="I52" s="224"/>
      <c r="J52" s="224">
        <f>SUM(J50:J51)</f>
        <v>1080</v>
      </c>
      <c r="K52" s="428">
        <f>SUM(K50:K51)</f>
        <v>0</v>
      </c>
      <c r="L52" s="227"/>
      <c r="M52" s="224"/>
      <c r="N52" s="224">
        <f>SUM(N50:N51)</f>
        <v>1080</v>
      </c>
      <c r="O52" s="428">
        <f>SUM(O50:O51)</f>
        <v>0</v>
      </c>
      <c r="P52" s="227"/>
      <c r="Q52" s="224"/>
      <c r="R52" s="224">
        <f>SUM(R50:R51)</f>
        <v>1080</v>
      </c>
      <c r="S52" s="428">
        <f>SUM(S50:S51)</f>
        <v>0</v>
      </c>
      <c r="T52" s="227"/>
      <c r="U52" s="224"/>
      <c r="V52" s="224">
        <f>SUM(V50:V51)</f>
        <v>1080</v>
      </c>
      <c r="W52" s="428">
        <f>SUM(W50:W51)</f>
        <v>0</v>
      </c>
      <c r="X52" s="227"/>
      <c r="Y52" s="224"/>
      <c r="Z52" s="224">
        <f>SUM(Z50:Z51)</f>
        <v>1080</v>
      </c>
      <c r="AA52" s="427"/>
      <c r="AB52" s="427"/>
      <c r="AC52" s="454">
        <f>AVERAGE(AC50:AC51)</f>
        <v>0</v>
      </c>
    </row>
    <row r="53" spans="1:29" s="2" customFormat="1" ht="16.5" customHeight="1" thickBot="1">
      <c r="A53" s="542"/>
      <c r="B53" s="459"/>
      <c r="C53" s="459"/>
      <c r="D53" s="459"/>
      <c r="E53" s="460"/>
      <c r="F53" s="461"/>
      <c r="G53" s="461"/>
      <c r="H53" s="460"/>
      <c r="I53" s="461"/>
      <c r="J53" s="461"/>
      <c r="K53" s="462"/>
      <c r="L53" s="463"/>
      <c r="M53" s="461"/>
      <c r="N53" s="461"/>
      <c r="O53" s="462"/>
      <c r="P53" s="463"/>
      <c r="Q53" s="461"/>
      <c r="R53" s="461"/>
      <c r="S53" s="462"/>
      <c r="T53" s="463"/>
      <c r="U53" s="461"/>
      <c r="V53" s="461"/>
      <c r="W53" s="462"/>
      <c r="X53" s="463"/>
      <c r="Y53" s="461"/>
      <c r="Z53" s="461"/>
      <c r="AA53" s="464"/>
      <c r="AB53" s="461"/>
      <c r="AC53" s="465"/>
    </row>
    <row r="54" spans="1:29" s="2" customFormat="1" ht="16.5" customHeight="1" thickTop="1" thickBot="1">
      <c r="A54" s="438" t="str">
        <f>"Totale "&amp;A28</f>
        <v>Totale Sales and Management costs</v>
      </c>
      <c r="B54" s="466"/>
      <c r="C54" s="466"/>
      <c r="D54" s="467"/>
      <c r="E54" s="440"/>
      <c r="F54" s="440"/>
      <c r="G54" s="441" t="e">
        <f>G52+G48+#REF!+G42+#REF!+G36</f>
        <v>#REF!</v>
      </c>
      <c r="H54" s="440"/>
      <c r="I54" s="440"/>
      <c r="J54" s="441">
        <f>J52+J48+J42+J36</f>
        <v>63664.103999999999</v>
      </c>
      <c r="K54" s="442">
        <f>K52+K48+K42+K36</f>
        <v>0</v>
      </c>
      <c r="L54" s="440"/>
      <c r="M54" s="440"/>
      <c r="N54" s="441">
        <f>N52+N48+N42+N36</f>
        <v>65924.102618181816</v>
      </c>
      <c r="O54" s="442">
        <f>O52+O48+O42+O36</f>
        <v>0</v>
      </c>
      <c r="P54" s="440"/>
      <c r="Q54" s="440"/>
      <c r="R54" s="441">
        <f>R52+R48+R42+R36</f>
        <v>70796.767539490917</v>
      </c>
      <c r="S54" s="442">
        <f>S52+S48+S42+S36</f>
        <v>0</v>
      </c>
      <c r="T54" s="440"/>
      <c r="U54" s="440"/>
      <c r="V54" s="441">
        <f>V52+V48+V42+V36</f>
        <v>72754.331216605089</v>
      </c>
      <c r="W54" s="442">
        <f>W52+W48+W42+W36</f>
        <v>0</v>
      </c>
      <c r="X54" s="440"/>
      <c r="Y54" s="440"/>
      <c r="Z54" s="441">
        <f>Z52+Z48+Z42+Z36</f>
        <v>74800.625023788045</v>
      </c>
      <c r="AA54" s="442"/>
      <c r="AB54" s="440"/>
      <c r="AC54" s="440"/>
    </row>
    <row r="55" spans="1:29" s="2" customFormat="1" ht="14.25" customHeight="1" thickTop="1" thickBot="1">
      <c r="A55" s="542"/>
      <c r="B55" s="542"/>
      <c r="C55" s="468"/>
      <c r="D55" s="468"/>
      <c r="E55" s="239"/>
      <c r="F55" s="469"/>
      <c r="G55" s="469"/>
      <c r="H55" s="239"/>
      <c r="I55" s="469"/>
      <c r="J55" s="469"/>
      <c r="K55" s="470"/>
      <c r="L55" s="471"/>
      <c r="M55" s="469"/>
      <c r="N55" s="469"/>
      <c r="O55" s="470"/>
      <c r="P55" s="471"/>
      <c r="Q55" s="469"/>
      <c r="R55" s="469"/>
      <c r="S55" s="470"/>
      <c r="T55" s="471"/>
      <c r="U55" s="469"/>
      <c r="V55" s="469"/>
      <c r="W55" s="470"/>
      <c r="X55" s="471"/>
      <c r="Y55" s="469"/>
      <c r="Z55" s="469"/>
      <c r="AA55" s="403"/>
      <c r="AB55" s="469"/>
      <c r="AC55" s="214"/>
    </row>
    <row r="56" spans="1:29" s="2" customFormat="1" ht="16.5" customHeight="1" thickTop="1" thickBot="1">
      <c r="A56" s="405" t="s">
        <v>238</v>
      </c>
      <c r="B56" s="405"/>
      <c r="C56" s="405"/>
      <c r="D56" s="405"/>
      <c r="E56" s="408" t="e">
        <f t="shared" ref="E56:J56" si="51">E28</f>
        <v>#REF!</v>
      </c>
      <c r="F56" s="408" t="e">
        <f t="shared" si="51"/>
        <v>#REF!</v>
      </c>
      <c r="G56" s="408" t="e">
        <f t="shared" si="51"/>
        <v>#REF!</v>
      </c>
      <c r="H56" s="408">
        <f t="shared" si="51"/>
        <v>2025</v>
      </c>
      <c r="I56" s="408">
        <f t="shared" si="51"/>
        <v>2025</v>
      </c>
      <c r="J56" s="408">
        <f t="shared" si="51"/>
        <v>2025</v>
      </c>
      <c r="K56" s="409" t="s">
        <v>214</v>
      </c>
      <c r="L56" s="408">
        <f>L28</f>
        <v>2026</v>
      </c>
      <c r="M56" s="408">
        <f>M28</f>
        <v>2026</v>
      </c>
      <c r="N56" s="408">
        <f>N28</f>
        <v>2026</v>
      </c>
      <c r="O56" s="409" t="s">
        <v>214</v>
      </c>
      <c r="P56" s="408">
        <f>P28</f>
        <v>2027</v>
      </c>
      <c r="Q56" s="408">
        <f>Q28</f>
        <v>2027</v>
      </c>
      <c r="R56" s="408">
        <f>R28</f>
        <v>2027</v>
      </c>
      <c r="S56" s="409" t="s">
        <v>214</v>
      </c>
      <c r="T56" s="408">
        <f>T28</f>
        <v>2028</v>
      </c>
      <c r="U56" s="408">
        <f>U28</f>
        <v>2028</v>
      </c>
      <c r="V56" s="408">
        <f>V28</f>
        <v>2028</v>
      </c>
      <c r="W56" s="409" t="s">
        <v>214</v>
      </c>
      <c r="X56" s="408">
        <f>X28</f>
        <v>2029</v>
      </c>
      <c r="Y56" s="408">
        <f>Y28</f>
        <v>2029</v>
      </c>
      <c r="Z56" s="408">
        <f>Z28</f>
        <v>2029</v>
      </c>
      <c r="AA56" s="472" t="str">
        <f>AA5</f>
        <v>F/V</v>
      </c>
      <c r="AB56" s="408" t="str">
        <f>AB28</f>
        <v>//</v>
      </c>
      <c r="AC56" s="408" t="str">
        <f>AC28</f>
        <v>Ξ</v>
      </c>
    </row>
    <row r="57" spans="1:29" s="2" customFormat="1" ht="16.5" customHeight="1" thickTop="1">
      <c r="A57" s="548" t="s">
        <v>239</v>
      </c>
      <c r="B57" s="548"/>
      <c r="C57" s="548"/>
      <c r="D57" s="548"/>
      <c r="E57" s="239"/>
      <c r="F57" s="540"/>
      <c r="G57" s="214"/>
      <c r="H57" s="239"/>
      <c r="I57" s="540"/>
      <c r="J57" s="214"/>
      <c r="K57" s="402"/>
      <c r="L57" s="239"/>
      <c r="M57" s="540"/>
      <c r="N57" s="214"/>
      <c r="O57" s="402"/>
      <c r="P57" s="239"/>
      <c r="Q57" s="540"/>
      <c r="R57" s="214"/>
      <c r="S57" s="402"/>
      <c r="T57" s="239"/>
      <c r="U57" s="540"/>
      <c r="V57" s="214"/>
      <c r="W57" s="402"/>
      <c r="X57" s="239"/>
      <c r="Y57" s="540"/>
      <c r="Z57" s="214"/>
      <c r="AA57" s="423"/>
      <c r="AB57" s="214"/>
      <c r="AC57" s="214"/>
    </row>
    <row r="58" spans="1:29" s="2" customFormat="1" ht="16.5" customHeight="1">
      <c r="A58" s="419" t="str">
        <f t="shared" ref="A58:A60" si="52">A57</f>
        <v>General costs</v>
      </c>
      <c r="B58" s="420"/>
      <c r="C58" s="395" t="s">
        <v>240</v>
      </c>
      <c r="D58" s="2">
        <v>7</v>
      </c>
      <c r="E58" s="449">
        <v>0</v>
      </c>
      <c r="F58" s="450">
        <v>0</v>
      </c>
      <c r="G58" s="403">
        <f t="shared" ref="G58:G60" si="53">E58*F58</f>
        <v>0</v>
      </c>
      <c r="H58" s="449">
        <v>12</v>
      </c>
      <c r="I58" s="450">
        <v>250</v>
      </c>
      <c r="J58" s="403">
        <f t="shared" ref="J58:J60" si="54">H58*I58</f>
        <v>3000</v>
      </c>
      <c r="K58" s="451">
        <v>0</v>
      </c>
      <c r="L58" s="449">
        <v>12</v>
      </c>
      <c r="M58" s="450">
        <v>250</v>
      </c>
      <c r="N58" s="403">
        <f t="shared" ref="N58:N60" si="55">L58*M58</f>
        <v>3000</v>
      </c>
      <c r="O58" s="451">
        <v>0</v>
      </c>
      <c r="P58" s="449">
        <v>12</v>
      </c>
      <c r="Q58" s="450">
        <v>250</v>
      </c>
      <c r="R58" s="403">
        <f t="shared" ref="R58:R60" si="56">P58*Q58</f>
        <v>3000</v>
      </c>
      <c r="S58" s="451">
        <v>0</v>
      </c>
      <c r="T58" s="449">
        <v>12</v>
      </c>
      <c r="U58" s="450">
        <v>250</v>
      </c>
      <c r="V58" s="403">
        <f t="shared" ref="V58:V60" si="57">T58*U58</f>
        <v>3000</v>
      </c>
      <c r="W58" s="451">
        <v>0</v>
      </c>
      <c r="X58" s="449">
        <v>12</v>
      </c>
      <c r="Y58" s="450">
        <v>250</v>
      </c>
      <c r="Z58" s="403">
        <f t="shared" ref="Z58:Z60" si="58">X58*Y58</f>
        <v>3000</v>
      </c>
      <c r="AA58" s="423" t="s">
        <v>228</v>
      </c>
      <c r="AB58" s="403" t="s">
        <v>123</v>
      </c>
      <c r="AC58" s="423">
        <f>'Controll Panel'!B11</f>
        <v>0</v>
      </c>
    </row>
    <row r="59" spans="1:29" s="2" customFormat="1" ht="16.5" customHeight="1">
      <c r="A59" s="419" t="str">
        <f t="shared" si="52"/>
        <v>General costs</v>
      </c>
      <c r="B59" s="420"/>
      <c r="C59" s="395" t="s">
        <v>124</v>
      </c>
      <c r="D59" s="2">
        <v>7</v>
      </c>
      <c r="E59" s="449">
        <v>0</v>
      </c>
      <c r="F59" s="450">
        <v>0</v>
      </c>
      <c r="G59" s="403">
        <f t="shared" si="53"/>
        <v>0</v>
      </c>
      <c r="H59" s="449">
        <v>0</v>
      </c>
      <c r="I59" s="450">
        <v>0</v>
      </c>
      <c r="J59" s="403">
        <f t="shared" si="54"/>
        <v>0</v>
      </c>
      <c r="K59" s="451">
        <v>0</v>
      </c>
      <c r="L59" s="449">
        <v>0</v>
      </c>
      <c r="M59" s="450">
        <v>0</v>
      </c>
      <c r="N59" s="403">
        <f t="shared" si="55"/>
        <v>0</v>
      </c>
      <c r="O59" s="451">
        <v>0</v>
      </c>
      <c r="P59" s="449">
        <v>0</v>
      </c>
      <c r="Q59" s="450">
        <v>0</v>
      </c>
      <c r="R59" s="403">
        <f t="shared" si="56"/>
        <v>0</v>
      </c>
      <c r="S59" s="451">
        <v>0</v>
      </c>
      <c r="T59" s="449">
        <v>0</v>
      </c>
      <c r="U59" s="450">
        <v>0</v>
      </c>
      <c r="V59" s="403">
        <f t="shared" si="57"/>
        <v>0</v>
      </c>
      <c r="W59" s="451">
        <v>0</v>
      </c>
      <c r="X59" s="449">
        <v>0</v>
      </c>
      <c r="Y59" s="450">
        <v>0</v>
      </c>
      <c r="Z59" s="403">
        <f t="shared" si="58"/>
        <v>0</v>
      </c>
      <c r="AA59" s="423" t="s">
        <v>228</v>
      </c>
      <c r="AB59" s="403" t="s">
        <v>123</v>
      </c>
      <c r="AC59" s="423">
        <f>AC58</f>
        <v>0</v>
      </c>
    </row>
    <row r="60" spans="1:29" s="2" customFormat="1" ht="16.5" customHeight="1">
      <c r="A60" s="419" t="str">
        <f t="shared" si="52"/>
        <v>General costs</v>
      </c>
      <c r="B60" s="420"/>
      <c r="C60" s="395" t="s">
        <v>124</v>
      </c>
      <c r="D60" s="2">
        <v>14</v>
      </c>
      <c r="E60" s="449">
        <v>0</v>
      </c>
      <c r="F60" s="450">
        <v>0</v>
      </c>
      <c r="G60" s="403">
        <f t="shared" si="53"/>
        <v>0</v>
      </c>
      <c r="H60" s="449">
        <v>0</v>
      </c>
      <c r="I60" s="450">
        <v>0</v>
      </c>
      <c r="J60" s="403">
        <f t="shared" si="54"/>
        <v>0</v>
      </c>
      <c r="K60" s="451">
        <v>0</v>
      </c>
      <c r="L60" s="449">
        <v>0</v>
      </c>
      <c r="M60" s="450">
        <v>0</v>
      </c>
      <c r="N60" s="403">
        <f t="shared" si="55"/>
        <v>0</v>
      </c>
      <c r="O60" s="451">
        <v>0</v>
      </c>
      <c r="P60" s="449">
        <v>0</v>
      </c>
      <c r="Q60" s="450">
        <v>0</v>
      </c>
      <c r="R60" s="403">
        <f t="shared" si="56"/>
        <v>0</v>
      </c>
      <c r="S60" s="451">
        <v>0</v>
      </c>
      <c r="T60" s="449">
        <v>0</v>
      </c>
      <c r="U60" s="450">
        <v>0</v>
      </c>
      <c r="V60" s="403">
        <f t="shared" si="57"/>
        <v>0</v>
      </c>
      <c r="W60" s="451">
        <v>0</v>
      </c>
      <c r="X60" s="449">
        <v>0</v>
      </c>
      <c r="Y60" s="450">
        <v>0</v>
      </c>
      <c r="Z60" s="403">
        <f t="shared" si="58"/>
        <v>0</v>
      </c>
      <c r="AA60" s="423" t="s">
        <v>228</v>
      </c>
      <c r="AB60" s="403" t="s">
        <v>123</v>
      </c>
      <c r="AC60" s="423">
        <f>AC59</f>
        <v>0</v>
      </c>
    </row>
    <row r="61" spans="1:29" s="2" customFormat="1" ht="16.5" customHeight="1">
      <c r="A61" s="222" t="s">
        <v>80</v>
      </c>
      <c r="B61" s="222"/>
      <c r="C61" s="222"/>
      <c r="D61" s="222"/>
      <c r="E61" s="473"/>
      <c r="F61" s="541"/>
      <c r="G61" s="224">
        <f>SUM(G58:G60)</f>
        <v>0</v>
      </c>
      <c r="H61" s="473"/>
      <c r="I61" s="541"/>
      <c r="J61" s="224">
        <f>SUM(J58:J60)</f>
        <v>3000</v>
      </c>
      <c r="K61" s="428">
        <f>SUM(K58:K60)</f>
        <v>0</v>
      </c>
      <c r="L61" s="473"/>
      <c r="M61" s="541"/>
      <c r="N61" s="224">
        <f>SUM(N58:N60)</f>
        <v>3000</v>
      </c>
      <c r="O61" s="428">
        <f>SUM(O58:O60)</f>
        <v>0</v>
      </c>
      <c r="P61" s="473"/>
      <c r="Q61" s="541"/>
      <c r="R61" s="224">
        <f>SUM(R58:R60)</f>
        <v>3000</v>
      </c>
      <c r="S61" s="428">
        <f>SUM(S58:S60)</f>
        <v>0</v>
      </c>
      <c r="T61" s="473"/>
      <c r="U61" s="541"/>
      <c r="V61" s="224">
        <f>SUM(V58:V60)</f>
        <v>3000</v>
      </c>
      <c r="W61" s="428">
        <f>SUM(W58:W60)</f>
        <v>0</v>
      </c>
      <c r="X61" s="473"/>
      <c r="Y61" s="541"/>
      <c r="Z61" s="224">
        <f>SUM(Z58:Z60)</f>
        <v>3000</v>
      </c>
      <c r="AA61" s="429"/>
      <c r="AB61" s="474"/>
      <c r="AC61" s="454">
        <f>AVERAGE(AC58:AC60)</f>
        <v>0</v>
      </c>
    </row>
    <row r="62" spans="1:29" s="2" customFormat="1" ht="16.5" customHeight="1">
      <c r="A62" s="548" t="s">
        <v>241</v>
      </c>
      <c r="B62" s="548"/>
      <c r="C62" s="395"/>
      <c r="E62" s="239"/>
      <c r="F62" s="540"/>
      <c r="G62" s="214"/>
      <c r="H62" s="239"/>
      <c r="I62" s="540"/>
      <c r="J62" s="214"/>
      <c r="K62" s="402"/>
      <c r="L62" s="239"/>
      <c r="M62" s="540"/>
      <c r="N62" s="214"/>
      <c r="O62" s="402"/>
      <c r="P62" s="239"/>
      <c r="Q62" s="540"/>
      <c r="R62" s="214"/>
      <c r="S62" s="402"/>
      <c r="T62" s="239"/>
      <c r="U62" s="540"/>
      <c r="V62" s="214"/>
      <c r="W62" s="402"/>
      <c r="X62" s="239"/>
      <c r="Y62" s="540"/>
      <c r="Z62" s="214"/>
      <c r="AA62" s="423"/>
      <c r="AB62" s="214"/>
      <c r="AC62" s="214"/>
    </row>
    <row r="63" spans="1:29" s="2" customFormat="1" ht="16.5" customHeight="1">
      <c r="A63" s="419" t="str">
        <f>A62</f>
        <v>Insurances</v>
      </c>
      <c r="B63" s="458"/>
      <c r="C63" s="395" t="s">
        <v>241</v>
      </c>
      <c r="D63" s="2">
        <v>7</v>
      </c>
      <c r="E63" s="449">
        <v>0</v>
      </c>
      <c r="F63" s="450">
        <v>0</v>
      </c>
      <c r="G63" s="403">
        <f t="shared" ref="G63:G64" si="59">E63*F63</f>
        <v>0</v>
      </c>
      <c r="H63" s="449">
        <v>1</v>
      </c>
      <c r="I63" s="450">
        <v>2000</v>
      </c>
      <c r="J63" s="403">
        <f t="shared" ref="J63:J64" si="60">H63*I63</f>
        <v>2000</v>
      </c>
      <c r="K63" s="451">
        <v>0</v>
      </c>
      <c r="L63" s="449">
        <v>1</v>
      </c>
      <c r="M63" s="450">
        <v>2000</v>
      </c>
      <c r="N63" s="403">
        <f t="shared" ref="N63" si="61">L63*M63</f>
        <v>2000</v>
      </c>
      <c r="O63" s="451">
        <v>0</v>
      </c>
      <c r="P63" s="449">
        <v>1</v>
      </c>
      <c r="Q63" s="450">
        <v>2000</v>
      </c>
      <c r="R63" s="403">
        <f t="shared" ref="R63" si="62">P63*Q63</f>
        <v>2000</v>
      </c>
      <c r="S63" s="451">
        <v>0</v>
      </c>
      <c r="T63" s="449">
        <v>1</v>
      </c>
      <c r="U63" s="450">
        <v>2000</v>
      </c>
      <c r="V63" s="403">
        <f t="shared" ref="V63" si="63">T63*U63</f>
        <v>2000</v>
      </c>
      <c r="W63" s="451">
        <v>0</v>
      </c>
      <c r="X63" s="449">
        <v>1</v>
      </c>
      <c r="Y63" s="450">
        <v>2000</v>
      </c>
      <c r="Z63" s="403">
        <f t="shared" ref="Z63" si="64">X63*Y63</f>
        <v>2000</v>
      </c>
      <c r="AA63" s="423" t="s">
        <v>228</v>
      </c>
      <c r="AB63" s="403" t="s">
        <v>123</v>
      </c>
      <c r="AC63" s="423">
        <f>AC61</f>
        <v>0</v>
      </c>
    </row>
    <row r="64" spans="1:29" s="2" customFormat="1" ht="16.5" customHeight="1">
      <c r="A64" s="419" t="str">
        <f>A63</f>
        <v>Insurances</v>
      </c>
      <c r="B64" s="458"/>
      <c r="C64" s="395" t="s">
        <v>124</v>
      </c>
      <c r="D64" s="2">
        <v>7</v>
      </c>
      <c r="E64" s="449">
        <v>0</v>
      </c>
      <c r="F64" s="450">
        <v>0</v>
      </c>
      <c r="G64" s="403">
        <f t="shared" si="59"/>
        <v>0</v>
      </c>
      <c r="H64" s="449">
        <v>0</v>
      </c>
      <c r="I64" s="450">
        <v>0</v>
      </c>
      <c r="J64" s="403">
        <f t="shared" si="60"/>
        <v>0</v>
      </c>
      <c r="K64" s="451">
        <v>0</v>
      </c>
      <c r="L64" s="449">
        <v>0</v>
      </c>
      <c r="M64" s="450">
        <v>0</v>
      </c>
      <c r="N64" s="403">
        <f t="shared" ref="N64" si="65">L64*M64</f>
        <v>0</v>
      </c>
      <c r="O64" s="451">
        <v>0</v>
      </c>
      <c r="P64" s="449">
        <v>0</v>
      </c>
      <c r="Q64" s="450">
        <v>0</v>
      </c>
      <c r="R64" s="403">
        <f t="shared" ref="R64" si="66">P64*Q64</f>
        <v>0</v>
      </c>
      <c r="S64" s="451">
        <v>0</v>
      </c>
      <c r="T64" s="449">
        <v>0</v>
      </c>
      <c r="U64" s="450">
        <v>0</v>
      </c>
      <c r="V64" s="403">
        <f t="shared" ref="V64" si="67">T64*U64</f>
        <v>0</v>
      </c>
      <c r="W64" s="451">
        <v>0</v>
      </c>
      <c r="X64" s="449">
        <v>0</v>
      </c>
      <c r="Y64" s="450">
        <v>0</v>
      </c>
      <c r="Z64" s="403">
        <f t="shared" ref="Z64" si="68">X64*Y64</f>
        <v>0</v>
      </c>
      <c r="AA64" s="423" t="s">
        <v>228</v>
      </c>
      <c r="AB64" s="403" t="s">
        <v>123</v>
      </c>
      <c r="AC64" s="423">
        <f>AC63</f>
        <v>0</v>
      </c>
    </row>
    <row r="65" spans="1:29" s="2" customFormat="1" ht="16.5" customHeight="1">
      <c r="A65" s="222" t="s">
        <v>80</v>
      </c>
      <c r="B65" s="222"/>
      <c r="C65" s="222"/>
      <c r="D65" s="222"/>
      <c r="E65" s="473"/>
      <c r="F65" s="541"/>
      <c r="G65" s="224">
        <f>SUM(G63:G64)</f>
        <v>0</v>
      </c>
      <c r="H65" s="473"/>
      <c r="I65" s="541"/>
      <c r="J65" s="224">
        <f>SUM(J63:J64)</f>
        <v>2000</v>
      </c>
      <c r="K65" s="428">
        <f>SUM(K63:K64)</f>
        <v>0</v>
      </c>
      <c r="L65" s="473"/>
      <c r="M65" s="541"/>
      <c r="N65" s="224">
        <f>SUM(N63:N64)</f>
        <v>2000</v>
      </c>
      <c r="O65" s="428">
        <f>SUM(O63:O64)</f>
        <v>0</v>
      </c>
      <c r="P65" s="473"/>
      <c r="Q65" s="541"/>
      <c r="R65" s="224">
        <f>SUM(R63:R64)</f>
        <v>2000</v>
      </c>
      <c r="S65" s="428">
        <f>SUM(S63:S64)</f>
        <v>0</v>
      </c>
      <c r="T65" s="473"/>
      <c r="U65" s="541"/>
      <c r="V65" s="224">
        <f>SUM(V63:V64)</f>
        <v>2000</v>
      </c>
      <c r="W65" s="428">
        <f>SUM(W63:W64)</f>
        <v>0</v>
      </c>
      <c r="X65" s="473"/>
      <c r="Y65" s="541"/>
      <c r="Z65" s="224">
        <f>SUM(Z63:Z64)</f>
        <v>2000</v>
      </c>
      <c r="AA65" s="429"/>
      <c r="AB65" s="474"/>
      <c r="AC65" s="454">
        <f>AVERAGE(AC63:AC64)</f>
        <v>0</v>
      </c>
    </row>
    <row r="66" spans="1:29" s="2" customFormat="1" ht="16.5" customHeight="1">
      <c r="A66" s="548" t="s">
        <v>242</v>
      </c>
      <c r="B66" s="548"/>
      <c r="C66" s="395"/>
      <c r="E66" s="239"/>
      <c r="F66" s="540"/>
      <c r="G66" s="214"/>
      <c r="H66" s="239"/>
      <c r="I66" s="540"/>
      <c r="J66" s="214"/>
      <c r="K66" s="402"/>
      <c r="L66" s="239"/>
      <c r="M66" s="540"/>
      <c r="N66" s="214"/>
      <c r="O66" s="402"/>
      <c r="P66" s="239"/>
      <c r="Q66" s="540"/>
      <c r="R66" s="214"/>
      <c r="S66" s="402"/>
      <c r="T66" s="239"/>
      <c r="U66" s="540"/>
      <c r="V66" s="214"/>
      <c r="W66" s="402"/>
      <c r="X66" s="239"/>
      <c r="Y66" s="540"/>
      <c r="Z66" s="214"/>
      <c r="AA66" s="423"/>
      <c r="AB66" s="214"/>
      <c r="AC66" s="214"/>
    </row>
    <row r="67" spans="1:29" s="2" customFormat="1" ht="16.5" customHeight="1">
      <c r="A67" s="419" t="str">
        <f>A66</f>
        <v>Consultants</v>
      </c>
      <c r="B67" s="458"/>
      <c r="C67" s="475" t="s">
        <v>243</v>
      </c>
      <c r="D67" s="2">
        <v>7</v>
      </c>
      <c r="E67" s="449">
        <v>0</v>
      </c>
      <c r="F67" s="450">
        <v>0</v>
      </c>
      <c r="G67" s="403">
        <f>E67*F67</f>
        <v>0</v>
      </c>
      <c r="H67" s="449">
        <v>12</v>
      </c>
      <c r="I67" s="450">
        <v>600</v>
      </c>
      <c r="J67" s="403">
        <f>H67*I67</f>
        <v>7200</v>
      </c>
      <c r="K67" s="451">
        <v>0</v>
      </c>
      <c r="L67" s="449">
        <v>12</v>
      </c>
      <c r="M67" s="450">
        <v>750</v>
      </c>
      <c r="N67" s="403">
        <f>L67*M67</f>
        <v>9000</v>
      </c>
      <c r="O67" s="451">
        <v>0</v>
      </c>
      <c r="P67" s="449">
        <v>12</v>
      </c>
      <c r="Q67" s="450">
        <v>1000</v>
      </c>
      <c r="R67" s="403">
        <f>P67*Q67</f>
        <v>12000</v>
      </c>
      <c r="S67" s="451">
        <v>0</v>
      </c>
      <c r="T67" s="449">
        <v>12</v>
      </c>
      <c r="U67" s="450">
        <v>1000</v>
      </c>
      <c r="V67" s="403">
        <f>T67*U67</f>
        <v>12000</v>
      </c>
      <c r="W67" s="451">
        <v>0</v>
      </c>
      <c r="X67" s="449">
        <v>12</v>
      </c>
      <c r="Y67" s="450">
        <v>1200</v>
      </c>
      <c r="Z67" s="403">
        <f>X67*Y67</f>
        <v>14400</v>
      </c>
      <c r="AA67" s="395" t="s">
        <v>228</v>
      </c>
      <c r="AB67" s="403" t="s">
        <v>123</v>
      </c>
      <c r="AC67" s="452">
        <f>AC65</f>
        <v>0</v>
      </c>
    </row>
    <row r="68" spans="1:29" s="2" customFormat="1" ht="16.5" customHeight="1">
      <c r="A68" s="419" t="str">
        <f t="shared" ref="A68:A70" si="69">A67</f>
        <v>Consultants</v>
      </c>
      <c r="B68" s="458"/>
      <c r="C68" s="475" t="s">
        <v>244</v>
      </c>
      <c r="D68" s="2">
        <v>7</v>
      </c>
      <c r="E68" s="449">
        <v>0</v>
      </c>
      <c r="F68" s="450">
        <v>0</v>
      </c>
      <c r="G68" s="403">
        <f t="shared" ref="G68" si="70">E68*F68</f>
        <v>0</v>
      </c>
      <c r="H68" s="449">
        <v>1</v>
      </c>
      <c r="I68" s="450">
        <v>3000</v>
      </c>
      <c r="J68" s="403">
        <f t="shared" ref="J68" si="71">H68*I68</f>
        <v>3000</v>
      </c>
      <c r="K68" s="451">
        <v>0</v>
      </c>
      <c r="L68" s="449">
        <v>1</v>
      </c>
      <c r="M68" s="450">
        <v>5000</v>
      </c>
      <c r="N68" s="403">
        <f t="shared" ref="N68" si="72">L68*M68</f>
        <v>5000</v>
      </c>
      <c r="O68" s="451">
        <v>0</v>
      </c>
      <c r="P68" s="449">
        <v>1</v>
      </c>
      <c r="Q68" s="450">
        <v>5000</v>
      </c>
      <c r="R68" s="403">
        <f t="shared" ref="R68" si="73">P68*Q68</f>
        <v>5000</v>
      </c>
      <c r="S68" s="451">
        <v>0</v>
      </c>
      <c r="T68" s="449">
        <v>1</v>
      </c>
      <c r="U68" s="450">
        <v>5000</v>
      </c>
      <c r="V68" s="403">
        <f t="shared" ref="V68" si="74">T68*U68</f>
        <v>5000</v>
      </c>
      <c r="W68" s="451">
        <v>0</v>
      </c>
      <c r="X68" s="449">
        <v>1</v>
      </c>
      <c r="Y68" s="450">
        <v>6000</v>
      </c>
      <c r="Z68" s="403">
        <f t="shared" ref="Z68" si="75">X68*Y68</f>
        <v>6000</v>
      </c>
      <c r="AA68" s="395" t="s">
        <v>228</v>
      </c>
      <c r="AB68" s="403" t="s">
        <v>123</v>
      </c>
      <c r="AC68" s="395">
        <f t="shared" ref="AC68" si="76">AC67</f>
        <v>0</v>
      </c>
    </row>
    <row r="69" spans="1:29" s="2" customFormat="1" ht="16.5" customHeight="1">
      <c r="A69" s="419" t="str">
        <f t="shared" si="69"/>
        <v>Consultants</v>
      </c>
      <c r="B69" s="458"/>
      <c r="C69" s="395" t="s">
        <v>124</v>
      </c>
      <c r="D69" s="2">
        <v>7</v>
      </c>
      <c r="E69" s="449">
        <v>0</v>
      </c>
      <c r="F69" s="450">
        <v>0</v>
      </c>
      <c r="G69" s="403">
        <f t="shared" ref="G69:G70" si="77">E69*F69</f>
        <v>0</v>
      </c>
      <c r="H69" s="449">
        <v>0</v>
      </c>
      <c r="I69" s="450">
        <v>0</v>
      </c>
      <c r="J69" s="403">
        <f t="shared" ref="J69:J70" si="78">H69*I69</f>
        <v>0</v>
      </c>
      <c r="K69" s="451">
        <v>0</v>
      </c>
      <c r="L69" s="449">
        <v>0</v>
      </c>
      <c r="M69" s="450">
        <v>0</v>
      </c>
      <c r="N69" s="403">
        <f t="shared" ref="N69:N70" si="79">L69*M69</f>
        <v>0</v>
      </c>
      <c r="O69" s="451">
        <v>0</v>
      </c>
      <c r="P69" s="449">
        <v>0</v>
      </c>
      <c r="Q69" s="450">
        <v>0</v>
      </c>
      <c r="R69" s="403">
        <f t="shared" ref="R69:R70" si="80">P69*Q69</f>
        <v>0</v>
      </c>
      <c r="S69" s="451">
        <v>0</v>
      </c>
      <c r="T69" s="449">
        <v>0</v>
      </c>
      <c r="U69" s="450">
        <v>0</v>
      </c>
      <c r="V69" s="403">
        <f t="shared" ref="V69:V70" si="81">T69*U69</f>
        <v>0</v>
      </c>
      <c r="W69" s="451">
        <v>0</v>
      </c>
      <c r="X69" s="449">
        <v>0</v>
      </c>
      <c r="Y69" s="450">
        <v>0</v>
      </c>
      <c r="Z69" s="403">
        <f t="shared" ref="Z69:Z70" si="82">X69*Y69</f>
        <v>0</v>
      </c>
      <c r="AA69" s="423" t="s">
        <v>228</v>
      </c>
      <c r="AB69" s="403" t="s">
        <v>123</v>
      </c>
      <c r="AC69" s="423">
        <f t="shared" ref="AC69:AC70" si="83">AC68</f>
        <v>0</v>
      </c>
    </row>
    <row r="70" spans="1:29" s="2" customFormat="1" ht="16.5" customHeight="1">
      <c r="A70" s="419" t="str">
        <f t="shared" si="69"/>
        <v>Consultants</v>
      </c>
      <c r="B70" s="419"/>
      <c r="C70" s="395" t="s">
        <v>124</v>
      </c>
      <c r="D70" s="2">
        <v>7</v>
      </c>
      <c r="E70" s="449">
        <v>0</v>
      </c>
      <c r="F70" s="450">
        <v>0</v>
      </c>
      <c r="G70" s="403">
        <f t="shared" si="77"/>
        <v>0</v>
      </c>
      <c r="H70" s="449">
        <v>0</v>
      </c>
      <c r="I70" s="450">
        <v>0</v>
      </c>
      <c r="J70" s="403">
        <f t="shared" si="78"/>
        <v>0</v>
      </c>
      <c r="K70" s="451">
        <v>0</v>
      </c>
      <c r="L70" s="449">
        <v>0</v>
      </c>
      <c r="M70" s="450">
        <v>0</v>
      </c>
      <c r="N70" s="403">
        <f t="shared" si="79"/>
        <v>0</v>
      </c>
      <c r="O70" s="451">
        <v>0</v>
      </c>
      <c r="P70" s="449">
        <v>0</v>
      </c>
      <c r="Q70" s="450">
        <v>0</v>
      </c>
      <c r="R70" s="403">
        <f t="shared" si="80"/>
        <v>0</v>
      </c>
      <c r="S70" s="451">
        <v>0</v>
      </c>
      <c r="T70" s="449">
        <v>0</v>
      </c>
      <c r="U70" s="450">
        <v>0</v>
      </c>
      <c r="V70" s="403">
        <f t="shared" si="81"/>
        <v>0</v>
      </c>
      <c r="W70" s="451">
        <v>0</v>
      </c>
      <c r="X70" s="449">
        <v>0</v>
      </c>
      <c r="Y70" s="450">
        <v>0</v>
      </c>
      <c r="Z70" s="403">
        <f t="shared" si="82"/>
        <v>0</v>
      </c>
      <c r="AA70" s="423" t="s">
        <v>228</v>
      </c>
      <c r="AB70" s="403" t="s">
        <v>123</v>
      </c>
      <c r="AC70" s="423">
        <f t="shared" si="83"/>
        <v>0</v>
      </c>
    </row>
    <row r="71" spans="1:29" s="2" customFormat="1" ht="16.5" customHeight="1">
      <c r="A71" s="222" t="s">
        <v>80</v>
      </c>
      <c r="B71" s="222"/>
      <c r="C71" s="222"/>
      <c r="D71" s="222"/>
      <c r="E71" s="473"/>
      <c r="F71" s="541"/>
      <c r="G71" s="224">
        <f>SUM(G67:G70)</f>
        <v>0</v>
      </c>
      <c r="H71" s="473"/>
      <c r="I71" s="541"/>
      <c r="J71" s="224">
        <f>SUM(J67:J70)</f>
        <v>10200</v>
      </c>
      <c r="K71" s="428">
        <f>SUM(K67:K70)</f>
        <v>0</v>
      </c>
      <c r="L71" s="473"/>
      <c r="M71" s="541"/>
      <c r="N71" s="224">
        <f>SUM(N67:N70)</f>
        <v>14000</v>
      </c>
      <c r="O71" s="428">
        <f>SUM(O67:O70)</f>
        <v>0</v>
      </c>
      <c r="P71" s="473"/>
      <c r="Q71" s="541"/>
      <c r="R71" s="224">
        <f>SUM(R67:R70)</f>
        <v>17000</v>
      </c>
      <c r="S71" s="428">
        <f>SUM(S67:S70)</f>
        <v>0</v>
      </c>
      <c r="T71" s="473"/>
      <c r="U71" s="541"/>
      <c r="V71" s="224">
        <f>SUM(V67:V70)</f>
        <v>17000</v>
      </c>
      <c r="W71" s="428">
        <f>SUM(W67:W70)</f>
        <v>0</v>
      </c>
      <c r="X71" s="473"/>
      <c r="Y71" s="541"/>
      <c r="Z71" s="224">
        <f>SUM(Z67:Z70)</f>
        <v>20400</v>
      </c>
      <c r="AA71" s="429"/>
      <c r="AB71" s="474"/>
      <c r="AC71" s="454">
        <f>AVERAGE(AC67:AC70)</f>
        <v>0</v>
      </c>
    </row>
    <row r="72" spans="1:29" s="2" customFormat="1" ht="16.5" customHeight="1">
      <c r="A72" s="548" t="s">
        <v>245</v>
      </c>
      <c r="B72" s="548"/>
      <c r="C72" s="395"/>
      <c r="E72" s="239"/>
      <c r="F72" s="540"/>
      <c r="G72" s="214"/>
      <c r="H72" s="239"/>
      <c r="I72" s="540"/>
      <c r="J72" s="214"/>
      <c r="K72" s="402"/>
      <c r="L72" s="239"/>
      <c r="M72" s="540"/>
      <c r="N72" s="214"/>
      <c r="O72" s="402"/>
      <c r="P72" s="239"/>
      <c r="Q72" s="540"/>
      <c r="R72" s="214"/>
      <c r="S72" s="402"/>
      <c r="T72" s="239"/>
      <c r="U72" s="540"/>
      <c r="V72" s="214"/>
      <c r="W72" s="402"/>
      <c r="X72" s="239"/>
      <c r="Y72" s="540"/>
      <c r="Z72" s="214"/>
      <c r="AA72" s="423"/>
      <c r="AB72" s="214"/>
      <c r="AC72" s="214"/>
    </row>
    <row r="73" spans="1:29" s="2" customFormat="1" ht="16.5" customHeight="1">
      <c r="A73" s="419" t="str">
        <f>A72</f>
        <v>Third party assets</v>
      </c>
      <c r="B73" s="458"/>
      <c r="C73" s="395" t="s">
        <v>246</v>
      </c>
      <c r="D73" s="2">
        <v>8</v>
      </c>
      <c r="E73" s="449">
        <v>0</v>
      </c>
      <c r="F73" s="450">
        <v>0</v>
      </c>
      <c r="G73" s="403">
        <f>E73*F73</f>
        <v>0</v>
      </c>
      <c r="H73" s="449">
        <v>12</v>
      </c>
      <c r="I73" s="450">
        <v>25</v>
      </c>
      <c r="J73" s="403">
        <f>I73*'Controll Panel'!B41*H73</f>
        <v>42000</v>
      </c>
      <c r="K73" s="451">
        <v>0</v>
      </c>
      <c r="L73" s="449">
        <v>12</v>
      </c>
      <c r="M73" s="450">
        <v>25</v>
      </c>
      <c r="N73" s="403">
        <f>M73*'Controll Panel'!C41*L73</f>
        <v>42000</v>
      </c>
      <c r="O73" s="451">
        <v>0</v>
      </c>
      <c r="P73" s="449">
        <v>12</v>
      </c>
      <c r="Q73" s="450">
        <v>30</v>
      </c>
      <c r="R73" s="403">
        <f>Q73*'Controll Panel'!D41*P73</f>
        <v>50400</v>
      </c>
      <c r="S73" s="451">
        <v>0</v>
      </c>
      <c r="T73" s="449">
        <v>12</v>
      </c>
      <c r="U73" s="450">
        <v>30</v>
      </c>
      <c r="V73" s="403">
        <f>U73*'Controll Panel'!E41*T73</f>
        <v>50400</v>
      </c>
      <c r="W73" s="451">
        <v>0</v>
      </c>
      <c r="X73" s="449">
        <v>12</v>
      </c>
      <c r="Y73" s="450">
        <v>30</v>
      </c>
      <c r="Z73" s="403">
        <f>Y73*'Controll Panel'!F41*X73</f>
        <v>50400</v>
      </c>
      <c r="AA73" s="423" t="s">
        <v>228</v>
      </c>
      <c r="AB73" s="403" t="s">
        <v>123</v>
      </c>
      <c r="AC73" s="423">
        <f>AC71</f>
        <v>0</v>
      </c>
    </row>
    <row r="74" spans="1:29" s="2" customFormat="1" ht="16.5" customHeight="1">
      <c r="A74" s="419" t="str">
        <f t="shared" ref="A74" si="84">A73</f>
        <v>Third party assets</v>
      </c>
      <c r="B74" s="420"/>
      <c r="C74" s="395" t="s">
        <v>247</v>
      </c>
      <c r="D74" s="2">
        <v>8</v>
      </c>
      <c r="E74" s="449">
        <v>0</v>
      </c>
      <c r="F74" s="450">
        <v>0</v>
      </c>
      <c r="G74" s="403">
        <f>E74*F74</f>
        <v>0</v>
      </c>
      <c r="H74" s="453">
        <f>'Controll Panel'!B33</f>
        <v>0</v>
      </c>
      <c r="I74" s="450">
        <f>'W Plur.'!B142</f>
        <v>815856.36363636353</v>
      </c>
      <c r="J74" s="403">
        <f>H74*I74</f>
        <v>0</v>
      </c>
      <c r="K74" s="451">
        <v>0</v>
      </c>
      <c r="L74" s="453">
        <f>'Controll Panel'!C33</f>
        <v>0</v>
      </c>
      <c r="M74" s="450">
        <f>'W Plur.'!C142</f>
        <v>875511.99272727268</v>
      </c>
      <c r="N74" s="403">
        <f>L74*M74</f>
        <v>0</v>
      </c>
      <c r="O74" s="451">
        <v>0</v>
      </c>
      <c r="P74" s="453">
        <f>'Controll Panel'!D33</f>
        <v>0</v>
      </c>
      <c r="Q74" s="450">
        <f>'W Plur.'!D142</f>
        <v>937227.50443636347</v>
      </c>
      <c r="R74" s="403">
        <f>P74*Q74</f>
        <v>0</v>
      </c>
      <c r="S74" s="451">
        <v>0</v>
      </c>
      <c r="T74" s="453">
        <f>'Controll Panel'!E33</f>
        <v>0</v>
      </c>
      <c r="U74" s="450">
        <f>'W Plur.'!E142</f>
        <v>1001061.4318167273</v>
      </c>
      <c r="V74" s="403">
        <f>T74*U74</f>
        <v>0</v>
      </c>
      <c r="W74" s="451">
        <v>0</v>
      </c>
      <c r="X74" s="453">
        <f>'Controll Panel'!F33</f>
        <v>0</v>
      </c>
      <c r="Y74" s="450">
        <f>'W Plur.'!F142</f>
        <v>1067073.8252905309</v>
      </c>
      <c r="Z74" s="403">
        <f>X74*Y74</f>
        <v>0</v>
      </c>
      <c r="AA74" s="423" t="s">
        <v>219</v>
      </c>
      <c r="AB74" s="403" t="s">
        <v>123</v>
      </c>
      <c r="AC74" s="423">
        <f>AC73</f>
        <v>0</v>
      </c>
    </row>
    <row r="75" spans="1:29" s="2" customFormat="1" ht="16.5" customHeight="1">
      <c r="A75" s="419"/>
      <c r="B75" s="420"/>
      <c r="C75" s="395" t="s">
        <v>124</v>
      </c>
      <c r="D75" s="2">
        <v>8</v>
      </c>
      <c r="E75" s="449">
        <v>0</v>
      </c>
      <c r="F75" s="450">
        <v>0</v>
      </c>
      <c r="G75" s="403">
        <f t="shared" ref="G75:G76" si="85">E75*F75</f>
        <v>0</v>
      </c>
      <c r="H75" s="449">
        <v>1</v>
      </c>
      <c r="I75" s="450">
        <v>0</v>
      </c>
      <c r="J75" s="403">
        <f t="shared" ref="J75:J76" si="86">H75*I75</f>
        <v>0</v>
      </c>
      <c r="K75" s="451">
        <v>0</v>
      </c>
      <c r="L75" s="449">
        <v>1</v>
      </c>
      <c r="M75" s="450">
        <v>0</v>
      </c>
      <c r="N75" s="403">
        <f t="shared" ref="N75:N76" si="87">L75*M75</f>
        <v>0</v>
      </c>
      <c r="O75" s="451">
        <v>0</v>
      </c>
      <c r="P75" s="449">
        <v>1</v>
      </c>
      <c r="Q75" s="450">
        <v>0</v>
      </c>
      <c r="R75" s="403">
        <f t="shared" ref="R75:R76" si="88">P75*Q75</f>
        <v>0</v>
      </c>
      <c r="S75" s="451">
        <v>0</v>
      </c>
      <c r="T75" s="449">
        <v>1</v>
      </c>
      <c r="U75" s="450">
        <v>0</v>
      </c>
      <c r="V75" s="403">
        <f t="shared" ref="V75:V76" si="89">T75*U75</f>
        <v>0</v>
      </c>
      <c r="W75" s="451">
        <v>0</v>
      </c>
      <c r="X75" s="449">
        <v>1</v>
      </c>
      <c r="Y75" s="450">
        <v>0</v>
      </c>
      <c r="Z75" s="403">
        <f t="shared" ref="Z75" si="90">X75*Y75</f>
        <v>0</v>
      </c>
      <c r="AA75" s="423" t="s">
        <v>228</v>
      </c>
      <c r="AB75" s="403" t="s">
        <v>123</v>
      </c>
      <c r="AC75" s="423">
        <f t="shared" ref="AC75:AC76" si="91">AC74</f>
        <v>0</v>
      </c>
    </row>
    <row r="76" spans="1:29" s="2" customFormat="1" ht="16.5" customHeight="1">
      <c r="A76" s="419"/>
      <c r="B76" s="420"/>
      <c r="C76" s="395" t="s">
        <v>124</v>
      </c>
      <c r="D76" s="2">
        <v>8</v>
      </c>
      <c r="E76" s="449">
        <v>0</v>
      </c>
      <c r="F76" s="450">
        <v>0</v>
      </c>
      <c r="G76" s="403">
        <f t="shared" si="85"/>
        <v>0</v>
      </c>
      <c r="H76" s="449">
        <v>0</v>
      </c>
      <c r="I76" s="450">
        <v>0</v>
      </c>
      <c r="J76" s="403">
        <f t="shared" si="86"/>
        <v>0</v>
      </c>
      <c r="K76" s="451">
        <v>0</v>
      </c>
      <c r="L76" s="449">
        <v>0</v>
      </c>
      <c r="M76" s="450">
        <v>0</v>
      </c>
      <c r="N76" s="403">
        <f t="shared" si="87"/>
        <v>0</v>
      </c>
      <c r="O76" s="451">
        <v>0</v>
      </c>
      <c r="P76" s="449">
        <v>0</v>
      </c>
      <c r="Q76" s="450">
        <v>0</v>
      </c>
      <c r="R76" s="403">
        <f t="shared" si="88"/>
        <v>0</v>
      </c>
      <c r="S76" s="451">
        <v>0</v>
      </c>
      <c r="T76" s="449">
        <v>0</v>
      </c>
      <c r="U76" s="450">
        <v>0</v>
      </c>
      <c r="V76" s="403">
        <f t="shared" si="89"/>
        <v>0</v>
      </c>
      <c r="W76" s="451">
        <v>0</v>
      </c>
      <c r="X76" s="449">
        <v>0</v>
      </c>
      <c r="Y76" s="450">
        <v>0</v>
      </c>
      <c r="Z76" s="403">
        <f t="shared" ref="Z76" si="92">X76*Y76</f>
        <v>0</v>
      </c>
      <c r="AA76" s="423" t="s">
        <v>228</v>
      </c>
      <c r="AB76" s="403" t="s">
        <v>123</v>
      </c>
      <c r="AC76" s="423">
        <f t="shared" si="91"/>
        <v>0</v>
      </c>
    </row>
    <row r="77" spans="1:29" s="2" customFormat="1" ht="16.5" customHeight="1">
      <c r="A77" s="222" t="s">
        <v>80</v>
      </c>
      <c r="B77" s="222"/>
      <c r="C77" s="222"/>
      <c r="D77" s="222"/>
      <c r="E77" s="473"/>
      <c r="F77" s="541"/>
      <c r="G77" s="224">
        <f>SUM(G73:G76)</f>
        <v>0</v>
      </c>
      <c r="H77" s="473"/>
      <c r="I77" s="541"/>
      <c r="J77" s="224">
        <f>SUM(J73:J76)</f>
        <v>42000</v>
      </c>
      <c r="K77" s="428">
        <f>SUM(K73:K76)</f>
        <v>0</v>
      </c>
      <c r="L77" s="473"/>
      <c r="M77" s="541"/>
      <c r="N77" s="224">
        <f>SUM(N73:N76)</f>
        <v>42000</v>
      </c>
      <c r="O77" s="428">
        <f>SUM(O73:O76)</f>
        <v>0</v>
      </c>
      <c r="P77" s="473"/>
      <c r="Q77" s="541"/>
      <c r="R77" s="224">
        <f>SUM(R73:R76)</f>
        <v>50400</v>
      </c>
      <c r="S77" s="428">
        <f>SUM(S73:S76)</f>
        <v>0</v>
      </c>
      <c r="T77" s="473"/>
      <c r="U77" s="541"/>
      <c r="V77" s="224">
        <f>SUM(V73:V76)</f>
        <v>50400</v>
      </c>
      <c r="W77" s="428">
        <f>SUM(W73:W76)</f>
        <v>0</v>
      </c>
      <c r="X77" s="473"/>
      <c r="Y77" s="541"/>
      <c r="Z77" s="224">
        <f>SUM(Z73:Z76)</f>
        <v>50400</v>
      </c>
      <c r="AA77" s="429"/>
      <c r="AB77" s="474"/>
      <c r="AC77" s="454">
        <f>AVERAGE(AC73:AC76)</f>
        <v>0</v>
      </c>
    </row>
    <row r="78" spans="1:29" s="2" customFormat="1" ht="16.5" customHeight="1">
      <c r="A78" s="548" t="s">
        <v>248</v>
      </c>
      <c r="B78" s="548"/>
      <c r="C78" s="395"/>
      <c r="E78" s="239"/>
      <c r="F78" s="540"/>
      <c r="G78" s="214"/>
      <c r="H78" s="239"/>
      <c r="I78" s="540"/>
      <c r="J78" s="214"/>
      <c r="K78" s="402"/>
      <c r="L78" s="239"/>
      <c r="M78" s="540"/>
      <c r="N78" s="214"/>
      <c r="O78" s="402"/>
      <c r="P78" s="239"/>
      <c r="Q78" s="540"/>
      <c r="R78" s="214"/>
      <c r="S78" s="402"/>
      <c r="T78" s="239"/>
      <c r="U78" s="540"/>
      <c r="V78" s="214"/>
      <c r="W78" s="402"/>
      <c r="X78" s="239"/>
      <c r="Y78" s="540"/>
      <c r="Z78" s="214"/>
      <c r="AA78" s="423"/>
      <c r="AB78" s="214"/>
      <c r="AC78" s="214"/>
    </row>
    <row r="79" spans="1:29" s="2" customFormat="1" ht="16.5" customHeight="1">
      <c r="A79" s="419" t="str">
        <f>A78</f>
        <v>Others general costs</v>
      </c>
      <c r="B79" s="420"/>
      <c r="C79" s="395" t="s">
        <v>249</v>
      </c>
      <c r="D79" s="2">
        <v>14</v>
      </c>
      <c r="E79" s="449">
        <v>0</v>
      </c>
      <c r="F79" s="450">
        <v>0</v>
      </c>
      <c r="G79" s="403">
        <f>F79*E79</f>
        <v>0</v>
      </c>
      <c r="H79" s="453">
        <v>0.01</v>
      </c>
      <c r="I79" s="450">
        <f>'W Plur.'!B119</f>
        <v>753479.99999999988</v>
      </c>
      <c r="J79" s="403">
        <f>I79*H79</f>
        <v>7534.7999999999993</v>
      </c>
      <c r="K79" s="451">
        <v>0</v>
      </c>
      <c r="L79" s="453">
        <v>0.01</v>
      </c>
      <c r="M79" s="450">
        <f>'W Plur.'!C119</f>
        <v>808377.81818181812</v>
      </c>
      <c r="N79" s="403">
        <f>M79*L79</f>
        <v>8083.7781818181811</v>
      </c>
      <c r="O79" s="451">
        <v>0</v>
      </c>
      <c r="P79" s="453">
        <v>0.01</v>
      </c>
      <c r="Q79" s="450">
        <f>'W Plur.'!D119</f>
        <v>865170.15709090896</v>
      </c>
      <c r="R79" s="403">
        <f>Q79*P79</f>
        <v>8651.7015709090902</v>
      </c>
      <c r="S79" s="451">
        <v>0</v>
      </c>
      <c r="T79" s="453">
        <v>0.01</v>
      </c>
      <c r="U79" s="450">
        <f>'W Plur.'!E119</f>
        <v>923910.83842909092</v>
      </c>
      <c r="V79" s="403">
        <f>U79*T79</f>
        <v>9239.1083842909102</v>
      </c>
      <c r="W79" s="451">
        <v>0</v>
      </c>
      <c r="X79" s="453">
        <v>0.01</v>
      </c>
      <c r="Y79" s="450">
        <f>'W Plur.'!F119</f>
        <v>984655.07895796373</v>
      </c>
      <c r="Z79" s="403">
        <f>Y79*X79</f>
        <v>9846.5507895796381</v>
      </c>
      <c r="AA79" s="423" t="s">
        <v>219</v>
      </c>
      <c r="AB79" s="403" t="s">
        <v>123</v>
      </c>
      <c r="AC79" s="423">
        <f>AC78</f>
        <v>0</v>
      </c>
    </row>
    <row r="80" spans="1:29" s="2" customFormat="1" ht="16.5" customHeight="1">
      <c r="A80" s="419" t="e">
        <f>#REF!</f>
        <v>#REF!</v>
      </c>
      <c r="B80" s="420"/>
      <c r="C80" s="395" t="s">
        <v>124</v>
      </c>
      <c r="D80" s="2">
        <v>14</v>
      </c>
      <c r="E80" s="449">
        <v>0</v>
      </c>
      <c r="F80" s="450">
        <v>0</v>
      </c>
      <c r="G80" s="403">
        <f t="shared" ref="G80" si="93">F80*E80</f>
        <v>0</v>
      </c>
      <c r="H80" s="449">
        <v>0</v>
      </c>
      <c r="I80" s="450">
        <v>0</v>
      </c>
      <c r="J80" s="403">
        <f t="shared" ref="J80" si="94">I80*H80</f>
        <v>0</v>
      </c>
      <c r="K80" s="451">
        <v>0</v>
      </c>
      <c r="L80" s="449">
        <v>0</v>
      </c>
      <c r="M80" s="450">
        <v>0</v>
      </c>
      <c r="N80" s="403">
        <f t="shared" ref="N80" si="95">M80*L80</f>
        <v>0</v>
      </c>
      <c r="O80" s="451">
        <v>0</v>
      </c>
      <c r="P80" s="449">
        <v>0</v>
      </c>
      <c r="Q80" s="450">
        <v>0</v>
      </c>
      <c r="R80" s="403">
        <f t="shared" ref="R80" si="96">Q80*P80</f>
        <v>0</v>
      </c>
      <c r="S80" s="451">
        <v>0</v>
      </c>
      <c r="T80" s="449">
        <v>0</v>
      </c>
      <c r="U80" s="450">
        <v>0</v>
      </c>
      <c r="V80" s="403">
        <f t="shared" ref="V80" si="97">U80*T80</f>
        <v>0</v>
      </c>
      <c r="W80" s="451">
        <v>0</v>
      </c>
      <c r="X80" s="449">
        <v>0</v>
      </c>
      <c r="Y80" s="450">
        <v>0</v>
      </c>
      <c r="Z80" s="403">
        <f t="shared" ref="Z80" si="98">Y80*X80</f>
        <v>0</v>
      </c>
      <c r="AA80" s="423" t="s">
        <v>228</v>
      </c>
      <c r="AB80" s="403" t="s">
        <v>123</v>
      </c>
      <c r="AC80" s="423">
        <f>AC79</f>
        <v>0</v>
      </c>
    </row>
    <row r="81" spans="1:29" s="2" customFormat="1" ht="16.5" customHeight="1">
      <c r="A81" s="222" t="s">
        <v>80</v>
      </c>
      <c r="B81" s="222"/>
      <c r="C81" s="425"/>
      <c r="D81" s="222"/>
      <c r="E81" s="549"/>
      <c r="F81" s="549"/>
      <c r="G81" s="476">
        <f>SUM(G79:G80)</f>
        <v>0</v>
      </c>
      <c r="H81" s="549"/>
      <c r="I81" s="549"/>
      <c r="J81" s="476">
        <f>SUM(J79:J80)</f>
        <v>7534.7999999999993</v>
      </c>
      <c r="K81" s="477">
        <f>SUM(K79:K80)</f>
        <v>0</v>
      </c>
      <c r="L81" s="549"/>
      <c r="M81" s="549"/>
      <c r="N81" s="476">
        <f>SUM(N79:N80)</f>
        <v>8083.7781818181811</v>
      </c>
      <c r="O81" s="477">
        <f>SUM(O79:O80)</f>
        <v>0</v>
      </c>
      <c r="P81" s="549"/>
      <c r="Q81" s="549"/>
      <c r="R81" s="476">
        <f>SUM(R79:R80)</f>
        <v>8651.7015709090902</v>
      </c>
      <c r="S81" s="477">
        <f>SUM(S79:S80)</f>
        <v>0</v>
      </c>
      <c r="T81" s="549"/>
      <c r="U81" s="549"/>
      <c r="V81" s="476">
        <f>SUM(V79:V80)</f>
        <v>9239.1083842909102</v>
      </c>
      <c r="W81" s="477">
        <f>SUM(W79:W80)</f>
        <v>0</v>
      </c>
      <c r="X81" s="549"/>
      <c r="Y81" s="549"/>
      <c r="Z81" s="476">
        <f>SUM(Z79:Z80)</f>
        <v>9846.5507895796381</v>
      </c>
      <c r="AA81" s="425"/>
      <c r="AB81" s="549"/>
      <c r="AC81" s="478">
        <f>AVERAGE(AC79:AC80)</f>
        <v>0</v>
      </c>
    </row>
    <row r="82" spans="1:29" s="2" customFormat="1" ht="16.5" customHeight="1" thickBot="1">
      <c r="B82" s="479"/>
      <c r="C82" s="479"/>
      <c r="D82" s="290"/>
      <c r="E82" s="440"/>
      <c r="F82" s="440"/>
      <c r="G82" s="57"/>
      <c r="H82" s="440"/>
      <c r="I82" s="440"/>
      <c r="J82" s="57"/>
      <c r="K82" s="480"/>
      <c r="L82" s="440"/>
      <c r="M82" s="440"/>
      <c r="N82" s="57"/>
      <c r="O82" s="480"/>
      <c r="P82" s="440"/>
      <c r="Q82" s="440"/>
      <c r="R82" s="57"/>
      <c r="S82" s="480"/>
      <c r="T82" s="440"/>
      <c r="U82" s="440"/>
      <c r="V82" s="57"/>
      <c r="W82" s="480"/>
      <c r="X82" s="440"/>
      <c r="Y82" s="440"/>
      <c r="Z82" s="57"/>
      <c r="AA82" s="479"/>
      <c r="AB82" s="440"/>
      <c r="AC82" s="440"/>
    </row>
    <row r="83" spans="1:29" s="2" customFormat="1" ht="16.5" customHeight="1" thickTop="1" thickBot="1">
      <c r="A83" s="438" t="str">
        <f>"Totale "&amp;A56</f>
        <v>Totale General services</v>
      </c>
      <c r="B83" s="466"/>
      <c r="C83" s="466"/>
      <c r="D83" s="467"/>
      <c r="E83" s="440"/>
      <c r="F83" s="440"/>
      <c r="G83" s="441" t="e">
        <f>G81+#REF!+G77+#REF!+G71+G65+G61</f>
        <v>#REF!</v>
      </c>
      <c r="H83" s="440"/>
      <c r="I83" s="440"/>
      <c r="J83" s="441">
        <f>J81+J77+J71+J65+J61</f>
        <v>64734.8</v>
      </c>
      <c r="K83" s="442">
        <f>K81+K77+K71+K65+K61</f>
        <v>0</v>
      </c>
      <c r="L83" s="440"/>
      <c r="M83" s="440"/>
      <c r="N83" s="441">
        <f>N81+N77+N71+N65+N61</f>
        <v>69083.778181818183</v>
      </c>
      <c r="O83" s="442">
        <f>O81+O77+O71+O65+O61</f>
        <v>0</v>
      </c>
      <c r="P83" s="440"/>
      <c r="Q83" s="440"/>
      <c r="R83" s="441">
        <f>R81+R77+R71+R65+R61</f>
        <v>81051.701570909092</v>
      </c>
      <c r="S83" s="442">
        <f>S81+S77+S71+S65+S61</f>
        <v>0</v>
      </c>
      <c r="T83" s="440"/>
      <c r="U83" s="440"/>
      <c r="V83" s="441">
        <f>V81+V77+V71+V65+V61</f>
        <v>81639.108384290914</v>
      </c>
      <c r="W83" s="442">
        <f>W81+W77+W71+W65+W61</f>
        <v>0</v>
      </c>
      <c r="X83" s="440"/>
      <c r="Y83" s="440"/>
      <c r="Z83" s="441">
        <f>Z81+Z77+Z71+Z65+Z61</f>
        <v>85646.550789579633</v>
      </c>
      <c r="AA83" s="442"/>
      <c r="AB83" s="440"/>
      <c r="AC83" s="440"/>
    </row>
    <row r="84" spans="1:29" s="2" customFormat="1" ht="16.5" customHeight="1" thickTop="1" thickBot="1">
      <c r="A84" s="542"/>
      <c r="B84" s="542"/>
      <c r="C84" s="468"/>
      <c r="D84" s="468"/>
      <c r="E84" s="239"/>
      <c r="F84" s="469"/>
      <c r="G84" s="469"/>
      <c r="H84" s="239"/>
      <c r="I84" s="469"/>
      <c r="J84" s="469"/>
      <c r="K84" s="470"/>
      <c r="L84" s="471"/>
      <c r="M84" s="469"/>
      <c r="N84" s="469"/>
      <c r="O84" s="470"/>
      <c r="P84" s="471"/>
      <c r="Q84" s="469"/>
      <c r="R84" s="469"/>
      <c r="S84" s="470"/>
      <c r="T84" s="471"/>
      <c r="U84" s="469"/>
      <c r="V84" s="469"/>
      <c r="W84" s="470"/>
      <c r="X84" s="471"/>
      <c r="Y84" s="469"/>
      <c r="Z84" s="469"/>
      <c r="AA84" s="403"/>
      <c r="AB84" s="469"/>
      <c r="AC84" s="214"/>
    </row>
    <row r="85" spans="1:29" ht="16.5" customHeight="1" thickTop="1" thickBot="1">
      <c r="A85" s="405" t="s">
        <v>250</v>
      </c>
      <c r="B85" s="405"/>
      <c r="C85" s="405"/>
      <c r="D85" s="405"/>
      <c r="E85" s="408" t="e">
        <f t="shared" ref="E85:J85" si="99">E56</f>
        <v>#REF!</v>
      </c>
      <c r="F85" s="408" t="e">
        <f t="shared" si="99"/>
        <v>#REF!</v>
      </c>
      <c r="G85" s="408" t="e">
        <f t="shared" si="99"/>
        <v>#REF!</v>
      </c>
      <c r="H85" s="408">
        <f t="shared" si="99"/>
        <v>2025</v>
      </c>
      <c r="I85" s="408">
        <f t="shared" si="99"/>
        <v>2025</v>
      </c>
      <c r="J85" s="408">
        <f t="shared" si="99"/>
        <v>2025</v>
      </c>
      <c r="K85" s="409" t="str">
        <f>K5</f>
        <v>Final balance</v>
      </c>
      <c r="L85" s="408">
        <f>L56</f>
        <v>2026</v>
      </c>
      <c r="M85" s="408">
        <f>M56</f>
        <v>2026</v>
      </c>
      <c r="N85" s="408">
        <f>N56</f>
        <v>2026</v>
      </c>
      <c r="O85" s="409" t="str">
        <f>O5</f>
        <v>Final balance</v>
      </c>
      <c r="P85" s="408">
        <f>P56</f>
        <v>2027</v>
      </c>
      <c r="Q85" s="408">
        <f>Q56</f>
        <v>2027</v>
      </c>
      <c r="R85" s="408">
        <f>R56</f>
        <v>2027</v>
      </c>
      <c r="S85" s="409" t="str">
        <f>S5</f>
        <v>Final balance</v>
      </c>
      <c r="T85" s="408">
        <f>T56</f>
        <v>2028</v>
      </c>
      <c r="U85" s="408">
        <f>U56</f>
        <v>2028</v>
      </c>
      <c r="V85" s="408">
        <f>V56</f>
        <v>2028</v>
      </c>
      <c r="W85" s="409" t="str">
        <f>W5</f>
        <v>Final balance</v>
      </c>
      <c r="X85" s="408">
        <f>X56</f>
        <v>2029</v>
      </c>
      <c r="Y85" s="408">
        <f>Y56</f>
        <v>2029</v>
      </c>
      <c r="Z85" s="408">
        <f>Z56</f>
        <v>2029</v>
      </c>
      <c r="AA85" s="481" t="str">
        <f>AA5</f>
        <v>F/V</v>
      </c>
      <c r="AB85" s="408" t="str">
        <f>AB56</f>
        <v>//</v>
      </c>
      <c r="AC85" s="408" t="str">
        <f>AC56</f>
        <v>Ξ</v>
      </c>
    </row>
    <row r="86" spans="1:29" s="2" customFormat="1" ht="16.5" customHeight="1" thickTop="1">
      <c r="A86" s="548" t="s">
        <v>251</v>
      </c>
      <c r="B86" s="548"/>
      <c r="C86" s="548"/>
      <c r="D86" s="548"/>
      <c r="E86" s="239"/>
      <c r="F86" s="540"/>
      <c r="G86" s="214"/>
      <c r="H86" s="239"/>
      <c r="I86" s="540"/>
      <c r="J86" s="214"/>
      <c r="K86" s="402"/>
      <c r="L86" s="239"/>
      <c r="M86" s="540"/>
      <c r="N86" s="214"/>
      <c r="O86" s="402"/>
      <c r="P86" s="239"/>
      <c r="Q86" s="540"/>
      <c r="R86" s="214"/>
      <c r="S86" s="402"/>
      <c r="T86" s="239"/>
      <c r="U86" s="540"/>
      <c r="V86" s="214"/>
      <c r="W86" s="402"/>
      <c r="X86" s="239"/>
      <c r="Y86" s="540"/>
      <c r="Z86" s="214"/>
      <c r="AA86" s="423"/>
      <c r="AB86" s="214"/>
      <c r="AC86" s="214"/>
    </row>
    <row r="87" spans="1:29" s="2" customFormat="1" ht="16.5" customHeight="1">
      <c r="A87" s="419" t="e">
        <f>#REF!</f>
        <v>#REF!</v>
      </c>
      <c r="B87" s="218"/>
      <c r="C87" s="395" t="s">
        <v>252</v>
      </c>
      <c r="D87" s="2" t="s">
        <v>253</v>
      </c>
      <c r="E87" s="423">
        <f>HR!B23</f>
        <v>0</v>
      </c>
      <c r="F87" s="403">
        <v>1</v>
      </c>
      <c r="G87" s="403">
        <f>F87*E87</f>
        <v>0</v>
      </c>
      <c r="H87" s="423">
        <f>HR!E23</f>
        <v>6</v>
      </c>
      <c r="I87" s="403">
        <f>HR!K23/HR!E23*0.7</f>
        <v>18937.875833333332</v>
      </c>
      <c r="J87" s="403">
        <f>I87*H87</f>
        <v>113627.25499999999</v>
      </c>
      <c r="K87" s="422">
        <f>HR!L23*0.7</f>
        <v>0</v>
      </c>
      <c r="L87" s="423">
        <f>HR!F23</f>
        <v>8.7999999999999989</v>
      </c>
      <c r="M87" s="403">
        <f>HR!M23/HR!F23*0.7</f>
        <v>14203.406875000004</v>
      </c>
      <c r="N87" s="403">
        <f>M87*L87</f>
        <v>124989.98050000002</v>
      </c>
      <c r="O87" s="422">
        <v>0</v>
      </c>
      <c r="P87" s="423">
        <f>HR!G23</f>
        <v>8.4</v>
      </c>
      <c r="Q87" s="403">
        <f>HR!N23/HR!G23*0.7</f>
        <v>15623.747562499999</v>
      </c>
      <c r="R87" s="403">
        <f>Q87*P87</f>
        <v>131239.479525</v>
      </c>
      <c r="S87" s="422">
        <f>HR!T23*0.7</f>
        <v>0</v>
      </c>
      <c r="T87" s="423">
        <f>HR!H23</f>
        <v>8.4</v>
      </c>
      <c r="U87" s="403">
        <f>HR!O23/HR!H23*0.7</f>
        <v>16404.934940625</v>
      </c>
      <c r="V87" s="403">
        <f>U87*T87</f>
        <v>137801.45350125001</v>
      </c>
      <c r="W87" s="422">
        <f>HR!X23*0.7</f>
        <v>0</v>
      </c>
      <c r="X87" s="423">
        <f>HR!I23</f>
        <v>8.4</v>
      </c>
      <c r="Y87" s="403">
        <f>HR!P23/HR!I23*0.7</f>
        <v>17225.181687656248</v>
      </c>
      <c r="Z87" s="403">
        <f>Y87*X87</f>
        <v>144691.5261763125</v>
      </c>
      <c r="AA87" s="423" t="s">
        <v>228</v>
      </c>
      <c r="AB87" s="403" t="s">
        <v>123</v>
      </c>
      <c r="AC87" s="423">
        <f>'Controll Panel'!B12</f>
        <v>0</v>
      </c>
    </row>
    <row r="88" spans="1:29" s="2" customFormat="1" ht="16.5" customHeight="1">
      <c r="A88" s="419" t="e">
        <f>#REF!</f>
        <v>#REF!</v>
      </c>
      <c r="B88" s="218"/>
      <c r="C88" s="395" t="s">
        <v>254</v>
      </c>
      <c r="D88" s="2" t="s">
        <v>255</v>
      </c>
      <c r="E88" s="423">
        <f>E87</f>
        <v>0</v>
      </c>
      <c r="F88" s="403">
        <v>1</v>
      </c>
      <c r="G88" s="403">
        <f>F88*E88</f>
        <v>0</v>
      </c>
      <c r="H88" s="423">
        <f>H87</f>
        <v>6</v>
      </c>
      <c r="I88" s="403">
        <f>HR!K23/HR!E23*0.1</f>
        <v>2705.4108333333334</v>
      </c>
      <c r="J88" s="403">
        <f>I88*H88</f>
        <v>16232.465</v>
      </c>
      <c r="K88" s="422">
        <f>HR!L23*0.1</f>
        <v>0</v>
      </c>
      <c r="L88" s="423">
        <f>L87</f>
        <v>8.7999999999999989</v>
      </c>
      <c r="M88" s="403">
        <f>HR!M23/HR!F23*0.1</f>
        <v>2029.0581250000007</v>
      </c>
      <c r="N88" s="403">
        <f>M88*L88</f>
        <v>17855.711500000005</v>
      </c>
      <c r="O88" s="422">
        <v>0</v>
      </c>
      <c r="P88" s="423">
        <f>P87</f>
        <v>8.4</v>
      </c>
      <c r="Q88" s="403">
        <f>HR!N23/HR!G23*0.1</f>
        <v>2231.9639375000002</v>
      </c>
      <c r="R88" s="403">
        <f>Q88*P88</f>
        <v>18748.497075000003</v>
      </c>
      <c r="S88" s="422">
        <f>HR!T23*0.1</f>
        <v>0</v>
      </c>
      <c r="T88" s="423">
        <f>T87</f>
        <v>8.4</v>
      </c>
      <c r="U88" s="403">
        <f>HR!O23/HR!H23*0.1</f>
        <v>2343.5621343750004</v>
      </c>
      <c r="V88" s="403">
        <f>U88*T88</f>
        <v>19685.921928750005</v>
      </c>
      <c r="W88" s="422">
        <f>HR!X23*0.1</f>
        <v>0</v>
      </c>
      <c r="X88" s="423">
        <f>X87</f>
        <v>8.4</v>
      </c>
      <c r="Y88" s="403">
        <f>HR!P23/HR!I23*0.1</f>
        <v>2460.7402410937502</v>
      </c>
      <c r="Z88" s="403">
        <f>Y88*X88</f>
        <v>20670.218025187503</v>
      </c>
      <c r="AA88" s="423" t="s">
        <v>228</v>
      </c>
      <c r="AB88" s="403" t="s">
        <v>123</v>
      </c>
      <c r="AC88" s="423">
        <f>AC87</f>
        <v>0</v>
      </c>
    </row>
    <row r="89" spans="1:29" s="2" customFormat="1" ht="16.5" customHeight="1">
      <c r="A89" s="419" t="e">
        <f>#REF!</f>
        <v>#REF!</v>
      </c>
      <c r="B89" s="218"/>
      <c r="C89" s="395" t="s">
        <v>256</v>
      </c>
      <c r="D89" s="2" t="s">
        <v>255</v>
      </c>
      <c r="E89" s="423">
        <f>E88</f>
        <v>0</v>
      </c>
      <c r="F89" s="403">
        <v>1</v>
      </c>
      <c r="G89" s="403">
        <f>F89*E89</f>
        <v>0</v>
      </c>
      <c r="H89" s="423">
        <f>H88</f>
        <v>6</v>
      </c>
      <c r="I89" s="403">
        <f>HR!K23/HR!E23*0.1</f>
        <v>2705.4108333333334</v>
      </c>
      <c r="J89" s="403">
        <f>I89*H89</f>
        <v>16232.465</v>
      </c>
      <c r="K89" s="422">
        <f>HR!L23*0.1</f>
        <v>0</v>
      </c>
      <c r="L89" s="423">
        <f>L88</f>
        <v>8.7999999999999989</v>
      </c>
      <c r="M89" s="403">
        <f>HR!M23/HR!F23*0.1</f>
        <v>2029.0581250000007</v>
      </c>
      <c r="N89" s="403">
        <f>M89*L89</f>
        <v>17855.711500000005</v>
      </c>
      <c r="O89" s="422">
        <v>0</v>
      </c>
      <c r="P89" s="423">
        <f>P88</f>
        <v>8.4</v>
      </c>
      <c r="Q89" s="403">
        <f>HR!N23/HR!G23*0.1</f>
        <v>2231.9639375000002</v>
      </c>
      <c r="R89" s="403">
        <f>Q89*P89</f>
        <v>18748.497075000003</v>
      </c>
      <c r="S89" s="422">
        <f>HR!T23*0.1</f>
        <v>0</v>
      </c>
      <c r="T89" s="423">
        <f>T88</f>
        <v>8.4</v>
      </c>
      <c r="U89" s="403">
        <f>HR!O23/HR!H23*0.1</f>
        <v>2343.5621343750004</v>
      </c>
      <c r="V89" s="403">
        <f>U89*T89</f>
        <v>19685.921928750005</v>
      </c>
      <c r="W89" s="422">
        <f>HR!X23*0.1</f>
        <v>0</v>
      </c>
      <c r="X89" s="423">
        <f>X88</f>
        <v>8.4</v>
      </c>
      <c r="Y89" s="403">
        <f>HR!P23/HR!I23*0.1</f>
        <v>2460.7402410937502</v>
      </c>
      <c r="Z89" s="403">
        <f>Y89*X89</f>
        <v>20670.218025187503</v>
      </c>
      <c r="AA89" s="423" t="s">
        <v>228</v>
      </c>
      <c r="AB89" s="403" t="s">
        <v>123</v>
      </c>
      <c r="AC89" s="423">
        <f t="shared" ref="AC89:AC90" si="100">AC88</f>
        <v>0</v>
      </c>
    </row>
    <row r="90" spans="1:29" s="2" customFormat="1" ht="16.5" customHeight="1">
      <c r="A90" s="419" t="e">
        <f>#REF!</f>
        <v>#REF!</v>
      </c>
      <c r="B90" s="218"/>
      <c r="C90" s="395" t="s">
        <v>256</v>
      </c>
      <c r="D90" s="2" t="s">
        <v>257</v>
      </c>
      <c r="E90" s="423">
        <f>E89</f>
        <v>0</v>
      </c>
      <c r="F90" s="403">
        <v>1</v>
      </c>
      <c r="G90" s="403">
        <f>F90*E90</f>
        <v>0</v>
      </c>
      <c r="H90" s="423">
        <f>H89</f>
        <v>6</v>
      </c>
      <c r="I90" s="403">
        <f>HR!K23/HR!E23*0.1</f>
        <v>2705.4108333333334</v>
      </c>
      <c r="J90" s="403">
        <f>I90*H90</f>
        <v>16232.465</v>
      </c>
      <c r="K90" s="422">
        <f>HR!L23*0.1</f>
        <v>0</v>
      </c>
      <c r="L90" s="423">
        <f>L89</f>
        <v>8.7999999999999989</v>
      </c>
      <c r="M90" s="403">
        <f>HR!M23/HR!F23*0.1</f>
        <v>2029.0581250000007</v>
      </c>
      <c r="N90" s="403">
        <f>M90*L90</f>
        <v>17855.711500000005</v>
      </c>
      <c r="O90" s="422">
        <v>0</v>
      </c>
      <c r="P90" s="423">
        <f>P89</f>
        <v>8.4</v>
      </c>
      <c r="Q90" s="403">
        <f>HR!N23/HR!G23*0.1</f>
        <v>2231.9639375000002</v>
      </c>
      <c r="R90" s="403">
        <f>Q90*P90</f>
        <v>18748.497075000003</v>
      </c>
      <c r="S90" s="422">
        <f>HR!T23*0.1</f>
        <v>0</v>
      </c>
      <c r="T90" s="423">
        <f>T89</f>
        <v>8.4</v>
      </c>
      <c r="U90" s="403">
        <f>HR!O23/HR!H23*0.1</f>
        <v>2343.5621343750004</v>
      </c>
      <c r="V90" s="403">
        <f>U90*T90</f>
        <v>19685.921928750005</v>
      </c>
      <c r="W90" s="422">
        <f>HR!X23*0.1</f>
        <v>0</v>
      </c>
      <c r="X90" s="423">
        <f>X89</f>
        <v>8.4</v>
      </c>
      <c r="Y90" s="403">
        <f>HR!P23/HR!I23*0.1</f>
        <v>2460.7402410937502</v>
      </c>
      <c r="Z90" s="403">
        <f>Y90*X90</f>
        <v>20670.218025187503</v>
      </c>
      <c r="AA90" s="423" t="s">
        <v>228</v>
      </c>
      <c r="AB90" s="403" t="s">
        <v>123</v>
      </c>
      <c r="AC90" s="423">
        <f t="shared" si="100"/>
        <v>0</v>
      </c>
    </row>
    <row r="91" spans="1:29" s="2" customFormat="1" ht="16.5" customHeight="1">
      <c r="A91" s="222" t="s">
        <v>80</v>
      </c>
      <c r="B91" s="222"/>
      <c r="C91" s="425"/>
      <c r="D91" s="222"/>
      <c r="E91" s="454">
        <f>E87</f>
        <v>0</v>
      </c>
      <c r="F91" s="224">
        <f>SUM(F87:F90)</f>
        <v>4</v>
      </c>
      <c r="G91" s="224">
        <f>SUM(G87:G90)</f>
        <v>0</v>
      </c>
      <c r="H91" s="454">
        <f>H87</f>
        <v>6</v>
      </c>
      <c r="I91" s="224">
        <f>SUM(I87:I90)</f>
        <v>27054.108333333337</v>
      </c>
      <c r="J91" s="224">
        <f>SUM(J87:J90)</f>
        <v>162324.65</v>
      </c>
      <c r="K91" s="482">
        <f>SUM(K87:K90)</f>
        <v>0</v>
      </c>
      <c r="L91" s="423">
        <f>L90</f>
        <v>8.7999999999999989</v>
      </c>
      <c r="M91" s="224">
        <f>SUM(M87:M90)</f>
        <v>20290.581250000007</v>
      </c>
      <c r="N91" s="224">
        <f>SUM(N87:N90)</f>
        <v>178557.11500000005</v>
      </c>
      <c r="O91" s="482">
        <f>SUM(O87:O90)</f>
        <v>0</v>
      </c>
      <c r="P91" s="423">
        <f>P90</f>
        <v>8.4</v>
      </c>
      <c r="Q91" s="224">
        <f>SUM(Q87:Q90)</f>
        <v>22319.639374999999</v>
      </c>
      <c r="R91" s="224">
        <f>SUM(R87:R90)</f>
        <v>187484.97074999998</v>
      </c>
      <c r="S91" s="482">
        <f>SUM(S87:S90)</f>
        <v>0</v>
      </c>
      <c r="T91" s="423">
        <f>T90</f>
        <v>8.4</v>
      </c>
      <c r="U91" s="224">
        <f>SUM(U87:U90)</f>
        <v>23435.621343749997</v>
      </c>
      <c r="V91" s="224">
        <f>SUM(V87:V90)</f>
        <v>196859.21928750002</v>
      </c>
      <c r="W91" s="482">
        <f>SUM(W87:W90)</f>
        <v>0</v>
      </c>
      <c r="X91" s="423">
        <f>X90</f>
        <v>8.4</v>
      </c>
      <c r="Y91" s="224">
        <f>SUM(Y87:Y90)</f>
        <v>24607.402410937499</v>
      </c>
      <c r="Z91" s="224">
        <f>SUM(Z87:Z90)</f>
        <v>206702.18025187499</v>
      </c>
      <c r="AA91" s="429"/>
      <c r="AB91" s="474"/>
      <c r="AC91" s="454">
        <f>AVERAGE(AC87:AC90)</f>
        <v>0</v>
      </c>
    </row>
    <row r="92" spans="1:29" s="2" customFormat="1" ht="16.5" customHeight="1" thickBot="1">
      <c r="B92" s="479"/>
      <c r="C92" s="479"/>
      <c r="D92" s="440"/>
      <c r="E92" s="483"/>
      <c r="F92" s="484"/>
      <c r="G92" s="485"/>
      <c r="H92" s="483"/>
      <c r="I92" s="484"/>
      <c r="J92" s="485"/>
      <c r="K92" s="486"/>
      <c r="L92" s="483"/>
      <c r="M92" s="484"/>
      <c r="N92" s="485"/>
      <c r="O92" s="486"/>
      <c r="P92" s="483"/>
      <c r="Q92" s="484"/>
      <c r="R92" s="485"/>
      <c r="S92" s="486"/>
      <c r="T92" s="483"/>
      <c r="U92" s="484"/>
      <c r="V92" s="485"/>
      <c r="W92" s="486"/>
      <c r="X92" s="483"/>
      <c r="Y92" s="484"/>
      <c r="Z92" s="485"/>
      <c r="AA92" s="487"/>
      <c r="AB92" s="485"/>
      <c r="AC92" s="485"/>
    </row>
    <row r="93" spans="1:29" s="2" customFormat="1" ht="16.5" customHeight="1" thickTop="1" thickBot="1">
      <c r="A93" s="438" t="str">
        <f>"Totale "&amp;A85</f>
        <v>Totale Employees</v>
      </c>
      <c r="B93" s="466"/>
      <c r="C93" s="466"/>
      <c r="D93" s="467"/>
      <c r="E93" s="488" t="e">
        <f>#REF!+E91+#REF!+#REF!</f>
        <v>#REF!</v>
      </c>
      <c r="F93" s="441" t="e">
        <f>#REF!+F91+#REF!+#REF!</f>
        <v>#REF!</v>
      </c>
      <c r="G93" s="441" t="e">
        <f>#REF!+G91+#REF!+#REF!</f>
        <v>#REF!</v>
      </c>
      <c r="H93" s="488">
        <f t="shared" ref="H93:Z93" si="101">H91</f>
        <v>6</v>
      </c>
      <c r="I93" s="489">
        <f t="shared" si="101"/>
        <v>27054.108333333337</v>
      </c>
      <c r="J93" s="489">
        <f t="shared" si="101"/>
        <v>162324.65</v>
      </c>
      <c r="K93" s="490">
        <f t="shared" si="101"/>
        <v>0</v>
      </c>
      <c r="L93" s="488">
        <f t="shared" si="101"/>
        <v>8.7999999999999989</v>
      </c>
      <c r="M93" s="489">
        <f t="shared" si="101"/>
        <v>20290.581250000007</v>
      </c>
      <c r="N93" s="489">
        <f t="shared" si="101"/>
        <v>178557.11500000005</v>
      </c>
      <c r="O93" s="490">
        <f t="shared" si="101"/>
        <v>0</v>
      </c>
      <c r="P93" s="488">
        <f t="shared" si="101"/>
        <v>8.4</v>
      </c>
      <c r="Q93" s="489">
        <f t="shared" si="101"/>
        <v>22319.639374999999</v>
      </c>
      <c r="R93" s="489">
        <f t="shared" si="101"/>
        <v>187484.97074999998</v>
      </c>
      <c r="S93" s="490">
        <f t="shared" si="101"/>
        <v>0</v>
      </c>
      <c r="T93" s="488">
        <f t="shared" si="101"/>
        <v>8.4</v>
      </c>
      <c r="U93" s="489">
        <f t="shared" si="101"/>
        <v>23435.621343749997</v>
      </c>
      <c r="V93" s="489">
        <f t="shared" si="101"/>
        <v>196859.21928750002</v>
      </c>
      <c r="W93" s="490">
        <f t="shared" si="101"/>
        <v>0</v>
      </c>
      <c r="X93" s="488">
        <f t="shared" si="101"/>
        <v>8.4</v>
      </c>
      <c r="Y93" s="489">
        <f t="shared" si="101"/>
        <v>24607.402410937499</v>
      </c>
      <c r="Z93" s="489">
        <f t="shared" si="101"/>
        <v>206702.18025187499</v>
      </c>
      <c r="AA93" s="490"/>
      <c r="AB93" s="440"/>
      <c r="AC93" s="440"/>
    </row>
    <row r="94" spans="1:29" s="2" customFormat="1" ht="16.5" customHeight="1" thickTop="1" thickBot="1">
      <c r="E94" s="239"/>
      <c r="F94" s="540"/>
      <c r="G94" s="214"/>
      <c r="H94" s="239"/>
      <c r="I94" s="540"/>
      <c r="J94" s="214"/>
      <c r="K94" s="404"/>
      <c r="L94" s="239"/>
      <c r="M94" s="540"/>
      <c r="N94" s="214"/>
      <c r="O94" s="404"/>
      <c r="P94" s="239"/>
      <c r="Q94" s="540"/>
      <c r="R94" s="214"/>
      <c r="S94" s="404"/>
      <c r="T94" s="239"/>
      <c r="U94" s="540"/>
      <c r="V94" s="214"/>
      <c r="W94" s="404"/>
      <c r="X94" s="239"/>
      <c r="Y94" s="540"/>
      <c r="Z94" s="214"/>
      <c r="AA94" s="423"/>
      <c r="AB94" s="214"/>
      <c r="AC94" s="214"/>
    </row>
    <row r="95" spans="1:29" s="2" customFormat="1" ht="16.5" customHeight="1" thickTop="1" thickBot="1">
      <c r="A95" s="405" t="s">
        <v>258</v>
      </c>
      <c r="B95" s="405"/>
      <c r="C95" s="405"/>
      <c r="D95" s="405"/>
      <c r="E95" s="408" t="e">
        <f>#REF!</f>
        <v>#REF!</v>
      </c>
      <c r="F95" s="408" t="e">
        <f>#REF!</f>
        <v>#REF!</v>
      </c>
      <c r="G95" s="408" t="e">
        <f>#REF!</f>
        <v>#REF!</v>
      </c>
      <c r="H95" s="408">
        <f>H85</f>
        <v>2025</v>
      </c>
      <c r="I95" s="408">
        <f t="shared" ref="I95:AC95" si="102">I85</f>
        <v>2025</v>
      </c>
      <c r="J95" s="408">
        <f t="shared" si="102"/>
        <v>2025</v>
      </c>
      <c r="K95" s="491" t="str">
        <f t="shared" si="102"/>
        <v>Final balance</v>
      </c>
      <c r="L95" s="408">
        <f t="shared" si="102"/>
        <v>2026</v>
      </c>
      <c r="M95" s="408">
        <f t="shared" si="102"/>
        <v>2026</v>
      </c>
      <c r="N95" s="408">
        <f t="shared" si="102"/>
        <v>2026</v>
      </c>
      <c r="O95" s="491" t="str">
        <f t="shared" si="102"/>
        <v>Final balance</v>
      </c>
      <c r="P95" s="408">
        <f t="shared" si="102"/>
        <v>2027</v>
      </c>
      <c r="Q95" s="408">
        <f t="shared" si="102"/>
        <v>2027</v>
      </c>
      <c r="R95" s="408">
        <f t="shared" si="102"/>
        <v>2027</v>
      </c>
      <c r="S95" s="491" t="str">
        <f t="shared" si="102"/>
        <v>Final balance</v>
      </c>
      <c r="T95" s="408">
        <f t="shared" si="102"/>
        <v>2028</v>
      </c>
      <c r="U95" s="408">
        <f t="shared" si="102"/>
        <v>2028</v>
      </c>
      <c r="V95" s="408">
        <f t="shared" si="102"/>
        <v>2028</v>
      </c>
      <c r="W95" s="491" t="str">
        <f t="shared" si="102"/>
        <v>Final balance</v>
      </c>
      <c r="X95" s="408">
        <f t="shared" si="102"/>
        <v>2029</v>
      </c>
      <c r="Y95" s="408">
        <f t="shared" si="102"/>
        <v>2029</v>
      </c>
      <c r="Z95" s="408">
        <f t="shared" si="102"/>
        <v>2029</v>
      </c>
      <c r="AA95" s="408" t="str">
        <f t="shared" si="102"/>
        <v>F/V</v>
      </c>
      <c r="AB95" s="408" t="str">
        <f t="shared" si="102"/>
        <v>//</v>
      </c>
      <c r="AC95" s="408" t="str">
        <f t="shared" si="102"/>
        <v>Ξ</v>
      </c>
    </row>
    <row r="96" spans="1:29" s="2" customFormat="1" ht="16.5" customHeight="1" thickTop="1">
      <c r="A96" s="548" t="s">
        <v>117</v>
      </c>
      <c r="B96" s="548"/>
      <c r="C96" s="548"/>
      <c r="D96" s="548"/>
      <c r="E96" s="239"/>
      <c r="F96" s="540"/>
      <c r="G96" s="214"/>
      <c r="H96" s="239"/>
      <c r="I96" s="540"/>
      <c r="J96" s="214"/>
      <c r="K96" s="404"/>
      <c r="L96" s="239"/>
      <c r="M96" s="540"/>
      <c r="N96" s="214"/>
      <c r="O96" s="404"/>
      <c r="P96" s="239"/>
      <c r="Q96" s="540"/>
      <c r="R96" s="214"/>
      <c r="S96" s="404"/>
      <c r="T96" s="239"/>
      <c r="U96" s="540"/>
      <c r="V96" s="214"/>
      <c r="W96" s="404"/>
      <c r="X96" s="239"/>
      <c r="Y96" s="540"/>
      <c r="Z96" s="214"/>
      <c r="AA96" s="423"/>
      <c r="AB96" s="214"/>
      <c r="AC96" s="214"/>
    </row>
    <row r="97" spans="1:29" s="2" customFormat="1" ht="16.5" customHeight="1">
      <c r="A97" s="548"/>
      <c r="C97" s="395" t="s">
        <v>116</v>
      </c>
      <c r="D97" s="2" t="s">
        <v>259</v>
      </c>
      <c r="E97" s="449">
        <v>0</v>
      </c>
      <c r="F97" s="450">
        <v>0</v>
      </c>
      <c r="G97" s="403">
        <f>E97*F97</f>
        <v>0</v>
      </c>
      <c r="H97" s="449">
        <v>0</v>
      </c>
      <c r="I97" s="450">
        <v>0</v>
      </c>
      <c r="J97" s="403">
        <f>H97*I97</f>
        <v>0</v>
      </c>
      <c r="K97" s="422">
        <v>0</v>
      </c>
      <c r="L97" s="449">
        <v>0</v>
      </c>
      <c r="M97" s="450">
        <v>0</v>
      </c>
      <c r="N97" s="403">
        <f>L97*M97</f>
        <v>0</v>
      </c>
      <c r="O97" s="422">
        <v>0</v>
      </c>
      <c r="P97" s="449">
        <v>0</v>
      </c>
      <c r="Q97" s="450">
        <v>0</v>
      </c>
      <c r="R97" s="403">
        <f>P97*Q97</f>
        <v>0</v>
      </c>
      <c r="S97" s="422">
        <v>0</v>
      </c>
      <c r="T97" s="449">
        <v>0</v>
      </c>
      <c r="U97" s="450">
        <v>0</v>
      </c>
      <c r="V97" s="403">
        <f>T97*U97</f>
        <v>0</v>
      </c>
      <c r="W97" s="422">
        <v>0</v>
      </c>
      <c r="X97" s="449">
        <v>0</v>
      </c>
      <c r="Y97" s="450">
        <v>0</v>
      </c>
      <c r="Z97" s="403">
        <f>X97*Y97</f>
        <v>0</v>
      </c>
      <c r="AA97" s="421" t="s">
        <v>228</v>
      </c>
      <c r="AB97" s="403" t="s">
        <v>123</v>
      </c>
      <c r="AC97" s="423">
        <f t="shared" ref="AC97:AC100" si="103">AC96</f>
        <v>0</v>
      </c>
    </row>
    <row r="98" spans="1:29" s="2" customFormat="1" ht="16.5" customHeight="1">
      <c r="A98" s="548"/>
      <c r="C98" s="395" t="s">
        <v>260</v>
      </c>
      <c r="D98" s="2" t="s">
        <v>261</v>
      </c>
      <c r="E98" s="449">
        <v>0</v>
      </c>
      <c r="F98" s="450">
        <v>0</v>
      </c>
      <c r="G98" s="403">
        <f>E98*F98</f>
        <v>0</v>
      </c>
      <c r="H98" s="449">
        <v>0</v>
      </c>
      <c r="I98" s="450">
        <v>0</v>
      </c>
      <c r="J98" s="403">
        <f>H98*I98</f>
        <v>0</v>
      </c>
      <c r="K98" s="422">
        <v>0</v>
      </c>
      <c r="L98" s="449">
        <v>0</v>
      </c>
      <c r="M98" s="450">
        <v>0</v>
      </c>
      <c r="N98" s="403">
        <f>L98*M98</f>
        <v>0</v>
      </c>
      <c r="O98" s="422">
        <v>0</v>
      </c>
      <c r="P98" s="449">
        <v>0</v>
      </c>
      <c r="Q98" s="450">
        <v>0</v>
      </c>
      <c r="R98" s="403">
        <f>P98*Q98</f>
        <v>0</v>
      </c>
      <c r="S98" s="422">
        <v>0</v>
      </c>
      <c r="T98" s="449">
        <v>0</v>
      </c>
      <c r="U98" s="450">
        <v>0</v>
      </c>
      <c r="V98" s="403">
        <f>T98*U98</f>
        <v>0</v>
      </c>
      <c r="W98" s="422">
        <v>0</v>
      </c>
      <c r="X98" s="449">
        <v>0</v>
      </c>
      <c r="Y98" s="450">
        <v>0</v>
      </c>
      <c r="Z98" s="403">
        <f>X98*Y98</f>
        <v>0</v>
      </c>
      <c r="AA98" s="421" t="s">
        <v>228</v>
      </c>
      <c r="AB98" s="403" t="s">
        <v>123</v>
      </c>
      <c r="AC98" s="423">
        <f t="shared" si="103"/>
        <v>0</v>
      </c>
    </row>
    <row r="99" spans="1:29" s="2" customFormat="1" ht="16.5" customHeight="1">
      <c r="A99" s="419" t="str">
        <f>A96</f>
        <v>Amortization</v>
      </c>
      <c r="B99" s="419"/>
      <c r="C99" s="395" t="s">
        <v>262</v>
      </c>
      <c r="D99" s="2" t="s">
        <v>259</v>
      </c>
      <c r="E99" s="449">
        <v>0</v>
      </c>
      <c r="F99" s="450">
        <v>0</v>
      </c>
      <c r="G99" s="403">
        <f>Inv.!F37</f>
        <v>0</v>
      </c>
      <c r="H99" s="449">
        <v>0</v>
      </c>
      <c r="I99" s="450">
        <v>0</v>
      </c>
      <c r="J99" s="403">
        <f>Inv.!I37</f>
        <v>35785.542857142857</v>
      </c>
      <c r="K99" s="422">
        <v>0</v>
      </c>
      <c r="L99" s="449">
        <v>0</v>
      </c>
      <c r="M99" s="450">
        <v>0</v>
      </c>
      <c r="N99" s="403">
        <f>Inv.!J37</f>
        <v>35785.542857142857</v>
      </c>
      <c r="O99" s="422">
        <v>0</v>
      </c>
      <c r="P99" s="449">
        <v>0</v>
      </c>
      <c r="Q99" s="450">
        <v>0</v>
      </c>
      <c r="R99" s="403">
        <f>Inv.!K37</f>
        <v>35785.542857142857</v>
      </c>
      <c r="S99" s="422">
        <v>0</v>
      </c>
      <c r="T99" s="449">
        <v>0</v>
      </c>
      <c r="U99" s="450">
        <v>0</v>
      </c>
      <c r="V99" s="403">
        <f>Inv.!L37</f>
        <v>35785.542857142857</v>
      </c>
      <c r="W99" s="422">
        <v>0</v>
      </c>
      <c r="X99" s="449">
        <v>0</v>
      </c>
      <c r="Y99" s="450">
        <v>0</v>
      </c>
      <c r="Z99" s="403">
        <f>Inv.!M37</f>
        <v>35785.542857142857</v>
      </c>
      <c r="AA99" s="423" t="s">
        <v>228</v>
      </c>
      <c r="AB99" s="403" t="s">
        <v>123</v>
      </c>
      <c r="AC99" s="423">
        <f t="shared" si="103"/>
        <v>0</v>
      </c>
    </row>
    <row r="100" spans="1:29" s="2" customFormat="1" ht="16.5" customHeight="1">
      <c r="A100" s="419" t="str">
        <f>A99</f>
        <v>Amortization</v>
      </c>
      <c r="B100" s="419"/>
      <c r="C100" s="395" t="s">
        <v>263</v>
      </c>
      <c r="D100" s="2" t="s">
        <v>261</v>
      </c>
      <c r="E100" s="449">
        <v>0</v>
      </c>
      <c r="F100" s="450">
        <v>0</v>
      </c>
      <c r="G100" s="403">
        <f>Inv.!F77</f>
        <v>0</v>
      </c>
      <c r="H100" s="449">
        <v>0</v>
      </c>
      <c r="I100" s="450">
        <v>0</v>
      </c>
      <c r="J100" s="403">
        <f>Inv.!I77</f>
        <v>0</v>
      </c>
      <c r="K100" s="422">
        <v>0</v>
      </c>
      <c r="L100" s="449">
        <v>0</v>
      </c>
      <c r="M100" s="450">
        <v>0</v>
      </c>
      <c r="N100" s="403">
        <f>Inv.!J77</f>
        <v>0</v>
      </c>
      <c r="O100" s="422">
        <v>0</v>
      </c>
      <c r="P100" s="449">
        <v>0</v>
      </c>
      <c r="Q100" s="450">
        <v>0</v>
      </c>
      <c r="R100" s="403">
        <f>Inv.!K77</f>
        <v>0</v>
      </c>
      <c r="S100" s="422">
        <v>0</v>
      </c>
      <c r="T100" s="449">
        <v>0</v>
      </c>
      <c r="U100" s="450">
        <v>0</v>
      </c>
      <c r="V100" s="403">
        <f>Inv.!L77</f>
        <v>0</v>
      </c>
      <c r="W100" s="422">
        <v>0</v>
      </c>
      <c r="X100" s="449">
        <v>0</v>
      </c>
      <c r="Y100" s="450">
        <v>0</v>
      </c>
      <c r="Z100" s="403">
        <f>Inv.!M77</f>
        <v>0</v>
      </c>
      <c r="AA100" s="423" t="s">
        <v>228</v>
      </c>
      <c r="AB100" s="403" t="s">
        <v>123</v>
      </c>
      <c r="AC100" s="423">
        <f t="shared" si="103"/>
        <v>0</v>
      </c>
    </row>
    <row r="101" spans="1:29" s="2" customFormat="1" ht="16.5" customHeight="1">
      <c r="A101" s="222" t="s">
        <v>80</v>
      </c>
      <c r="B101" s="222"/>
      <c r="C101" s="425"/>
      <c r="D101" s="222"/>
      <c r="E101" s="473"/>
      <c r="F101" s="541"/>
      <c r="G101" s="224">
        <f>SUM(G97:G100)</f>
        <v>0</v>
      </c>
      <c r="H101" s="473"/>
      <c r="I101" s="541"/>
      <c r="J101" s="224">
        <f>SUM(J97:J100)</f>
        <v>35785.542857142857</v>
      </c>
      <c r="K101" s="428">
        <f>SUM(K97:K100)</f>
        <v>0</v>
      </c>
      <c r="L101" s="473"/>
      <c r="M101" s="541"/>
      <c r="N101" s="224">
        <f>SUM(N97:N100)</f>
        <v>35785.542857142857</v>
      </c>
      <c r="O101" s="428">
        <f>SUM(O97:O100)</f>
        <v>0</v>
      </c>
      <c r="P101" s="473"/>
      <c r="Q101" s="541"/>
      <c r="R101" s="224">
        <f>SUM(R97:R100)</f>
        <v>35785.542857142857</v>
      </c>
      <c r="S101" s="428">
        <f>SUM(S97:S100)</f>
        <v>0</v>
      </c>
      <c r="T101" s="473"/>
      <c r="U101" s="541"/>
      <c r="V101" s="224">
        <f>SUM(V97:V100)</f>
        <v>35785.542857142857</v>
      </c>
      <c r="W101" s="428">
        <f>SUM(W97:W100)</f>
        <v>0</v>
      </c>
      <c r="X101" s="473"/>
      <c r="Y101" s="541"/>
      <c r="Z101" s="224">
        <f>SUM(Z97:Z100)</f>
        <v>35785.542857142857</v>
      </c>
      <c r="AA101" s="429"/>
      <c r="AB101" s="474"/>
      <c r="AC101" s="474"/>
    </row>
    <row r="102" spans="1:29" s="2" customFormat="1" ht="16.5" customHeight="1">
      <c r="A102" s="548" t="s">
        <v>264</v>
      </c>
      <c r="B102" s="548"/>
      <c r="C102" s="395"/>
      <c r="E102" s="239"/>
      <c r="F102" s="540"/>
      <c r="G102" s="214"/>
      <c r="H102" s="239"/>
      <c r="I102" s="540"/>
      <c r="J102" s="214"/>
      <c r="K102" s="404"/>
      <c r="L102" s="239"/>
      <c r="M102" s="540"/>
      <c r="N102" s="214"/>
      <c r="O102" s="404"/>
      <c r="P102" s="239"/>
      <c r="Q102" s="540"/>
      <c r="R102" s="214"/>
      <c r="S102" s="404"/>
      <c r="T102" s="239"/>
      <c r="U102" s="540"/>
      <c r="V102" s="214"/>
      <c r="W102" s="404"/>
      <c r="X102" s="239"/>
      <c r="Y102" s="540"/>
      <c r="Z102" s="214"/>
      <c r="AA102" s="423"/>
      <c r="AB102" s="214"/>
      <c r="AC102" s="214"/>
    </row>
    <row r="103" spans="1:29" s="2" customFormat="1" ht="16.5" customHeight="1">
      <c r="A103" s="419" t="str">
        <f>A102</f>
        <v>Depreciation</v>
      </c>
      <c r="B103" s="419"/>
      <c r="C103" s="395" t="s">
        <v>264</v>
      </c>
      <c r="D103" s="2" t="s">
        <v>265</v>
      </c>
      <c r="E103" s="449">
        <v>0</v>
      </c>
      <c r="F103" s="450">
        <v>0</v>
      </c>
      <c r="G103" s="403">
        <v>0</v>
      </c>
      <c r="H103" s="449">
        <v>0</v>
      </c>
      <c r="I103" s="450">
        <v>0</v>
      </c>
      <c r="J103" s="403">
        <v>0</v>
      </c>
      <c r="K103" s="422">
        <v>0</v>
      </c>
      <c r="L103" s="449">
        <v>0</v>
      </c>
      <c r="M103" s="450">
        <v>0</v>
      </c>
      <c r="N103" s="403">
        <v>0</v>
      </c>
      <c r="O103" s="422">
        <v>0</v>
      </c>
      <c r="P103" s="449">
        <v>0</v>
      </c>
      <c r="Q103" s="450">
        <v>0</v>
      </c>
      <c r="R103" s="403">
        <v>0</v>
      </c>
      <c r="S103" s="422">
        <v>0</v>
      </c>
      <c r="T103" s="449">
        <v>0</v>
      </c>
      <c r="U103" s="450">
        <v>0</v>
      </c>
      <c r="V103" s="403">
        <v>0</v>
      </c>
      <c r="W103" s="422">
        <v>0</v>
      </c>
      <c r="X103" s="449">
        <v>0</v>
      </c>
      <c r="Y103" s="450">
        <v>0</v>
      </c>
      <c r="Z103" s="403">
        <v>0</v>
      </c>
      <c r="AA103" s="423" t="s">
        <v>228</v>
      </c>
      <c r="AB103" s="403" t="s">
        <v>123</v>
      </c>
      <c r="AC103" s="423">
        <f>AC102</f>
        <v>0</v>
      </c>
    </row>
    <row r="104" spans="1:29" s="2" customFormat="1" ht="16.5" customHeight="1">
      <c r="A104" s="419" t="str">
        <f t="shared" ref="A104" si="104">A103</f>
        <v>Depreciation</v>
      </c>
      <c r="B104" s="419"/>
      <c r="C104" s="395" t="s">
        <v>266</v>
      </c>
      <c r="D104" s="2">
        <v>12</v>
      </c>
      <c r="E104" s="453">
        <v>2.5000000000000001E-3</v>
      </c>
      <c r="F104" s="450">
        <v>0</v>
      </c>
      <c r="G104" s="403">
        <f>E104*F104</f>
        <v>0</v>
      </c>
      <c r="H104" s="453">
        <v>2.5000000000000001E-3</v>
      </c>
      <c r="I104" s="450">
        <v>0</v>
      </c>
      <c r="J104" s="403">
        <f>H104*I104</f>
        <v>0</v>
      </c>
      <c r="K104" s="422">
        <v>0</v>
      </c>
      <c r="L104" s="453">
        <v>2.5000000000000001E-3</v>
      </c>
      <c r="M104" s="450">
        <v>0</v>
      </c>
      <c r="N104" s="403">
        <f>L104*M104</f>
        <v>0</v>
      </c>
      <c r="O104" s="422">
        <f>M104*N104</f>
        <v>0</v>
      </c>
      <c r="P104" s="453">
        <v>2.5000000000000001E-3</v>
      </c>
      <c r="Q104" s="450">
        <v>0</v>
      </c>
      <c r="R104" s="403">
        <f>P104*Q104</f>
        <v>0</v>
      </c>
      <c r="S104" s="422">
        <f>Q104*R104</f>
        <v>0</v>
      </c>
      <c r="T104" s="453">
        <v>2.5000000000000001E-3</v>
      </c>
      <c r="U104" s="450">
        <v>0</v>
      </c>
      <c r="V104" s="403">
        <f>T104*U104</f>
        <v>0</v>
      </c>
      <c r="W104" s="422">
        <f>U104*V104</f>
        <v>0</v>
      </c>
      <c r="X104" s="453">
        <v>2.5000000000000001E-3</v>
      </c>
      <c r="Y104" s="450">
        <v>0</v>
      </c>
      <c r="Z104" s="403">
        <f>X104*Y104</f>
        <v>0</v>
      </c>
      <c r="AA104" s="423" t="s">
        <v>219</v>
      </c>
      <c r="AB104" s="403" t="s">
        <v>123</v>
      </c>
      <c r="AC104" s="423">
        <f>AC103</f>
        <v>0</v>
      </c>
    </row>
    <row r="105" spans="1:29" s="2" customFormat="1" ht="16.5" customHeight="1">
      <c r="A105" s="222" t="s">
        <v>80</v>
      </c>
      <c r="B105" s="222"/>
      <c r="C105" s="425"/>
      <c r="D105" s="549"/>
      <c r="E105" s="473"/>
      <c r="F105" s="541"/>
      <c r="G105" s="224">
        <f>SUM(G103:G104)</f>
        <v>0</v>
      </c>
      <c r="H105" s="473"/>
      <c r="I105" s="541"/>
      <c r="J105" s="224">
        <f>SUM(J103:J104)</f>
        <v>0</v>
      </c>
      <c r="K105" s="428">
        <f>SUM(K103:K104)</f>
        <v>0</v>
      </c>
      <c r="L105" s="473"/>
      <c r="M105" s="541"/>
      <c r="N105" s="224">
        <f>SUM(N103:N104)</f>
        <v>0</v>
      </c>
      <c r="O105" s="428">
        <f>SUM(O103:O104)</f>
        <v>0</v>
      </c>
      <c r="P105" s="473"/>
      <c r="Q105" s="541"/>
      <c r="R105" s="224">
        <f>SUM(R103:R104)</f>
        <v>0</v>
      </c>
      <c r="S105" s="428">
        <f>SUM(S103:S104)</f>
        <v>0</v>
      </c>
      <c r="T105" s="473"/>
      <c r="U105" s="541"/>
      <c r="V105" s="224">
        <f>SUM(V103:V104)</f>
        <v>0</v>
      </c>
      <c r="W105" s="428">
        <f>SUM(W103:W104)</f>
        <v>0</v>
      </c>
      <c r="X105" s="473"/>
      <c r="Y105" s="541"/>
      <c r="Z105" s="224">
        <f>SUM(Z103:Z104)</f>
        <v>0</v>
      </c>
      <c r="AA105" s="429"/>
      <c r="AB105" s="474"/>
      <c r="AC105" s="474"/>
    </row>
    <row r="106" spans="1:29" s="2" customFormat="1" ht="16.5" customHeight="1" thickBot="1">
      <c r="A106" s="270"/>
      <c r="B106" s="270"/>
      <c r="C106" s="492"/>
      <c r="D106" s="270"/>
      <c r="E106" s="460"/>
      <c r="F106" s="493"/>
      <c r="G106" s="465"/>
      <c r="H106" s="460"/>
      <c r="I106" s="493"/>
      <c r="J106" s="465"/>
      <c r="K106" s="494"/>
      <c r="L106" s="460"/>
      <c r="M106" s="493"/>
      <c r="N106" s="465"/>
      <c r="O106" s="494"/>
      <c r="P106" s="460"/>
      <c r="Q106" s="493"/>
      <c r="R106" s="465"/>
      <c r="S106" s="494"/>
      <c r="T106" s="460"/>
      <c r="U106" s="493"/>
      <c r="V106" s="465"/>
      <c r="W106" s="494"/>
      <c r="X106" s="460"/>
      <c r="Y106" s="493"/>
      <c r="Z106" s="465"/>
      <c r="AA106" s="495"/>
      <c r="AB106" s="465"/>
      <c r="AC106" s="465"/>
    </row>
    <row r="107" spans="1:29" s="2" customFormat="1" ht="16.5" customHeight="1" thickTop="1" thickBot="1">
      <c r="A107" s="466" t="str">
        <f>"Totale "&amp;A95</f>
        <v>Totale Depreciation and amortization</v>
      </c>
      <c r="B107" s="466"/>
      <c r="C107" s="466"/>
      <c r="D107" s="467"/>
      <c r="E107" s="441"/>
      <c r="F107" s="441"/>
      <c r="G107" s="441">
        <f>G105+G101</f>
        <v>0</v>
      </c>
      <c r="H107" s="441"/>
      <c r="I107" s="441"/>
      <c r="J107" s="441">
        <f>J105+J101</f>
        <v>35785.542857142857</v>
      </c>
      <c r="K107" s="442">
        <f>K105+K101</f>
        <v>0</v>
      </c>
      <c r="L107" s="441"/>
      <c r="M107" s="441"/>
      <c r="N107" s="441">
        <f>N105+N101</f>
        <v>35785.542857142857</v>
      </c>
      <c r="O107" s="442">
        <f>O105+O101</f>
        <v>0</v>
      </c>
      <c r="P107" s="441"/>
      <c r="Q107" s="441"/>
      <c r="R107" s="441">
        <f>R105+R101</f>
        <v>35785.542857142857</v>
      </c>
      <c r="S107" s="442">
        <f>S105+S101</f>
        <v>0</v>
      </c>
      <c r="T107" s="441"/>
      <c r="U107" s="441"/>
      <c r="V107" s="441">
        <f>V105+V101</f>
        <v>35785.542857142857</v>
      </c>
      <c r="W107" s="442">
        <f>W105+W101</f>
        <v>0</v>
      </c>
      <c r="X107" s="441"/>
      <c r="Y107" s="441"/>
      <c r="Z107" s="441">
        <f>Z105+Z101</f>
        <v>35785.542857142857</v>
      </c>
      <c r="AA107" s="479"/>
      <c r="AB107" s="440"/>
      <c r="AC107" s="440"/>
    </row>
    <row r="108" spans="1:29" s="2" customFormat="1" ht="16.5" customHeight="1" thickTop="1" thickBot="1">
      <c r="A108" s="548"/>
      <c r="B108" s="548"/>
      <c r="C108" s="548"/>
      <c r="D108" s="548"/>
      <c r="E108" s="64"/>
      <c r="F108" s="64"/>
      <c r="G108" s="64"/>
      <c r="H108" s="64"/>
      <c r="I108" s="64"/>
      <c r="J108" s="64"/>
      <c r="K108" s="257"/>
      <c r="L108" s="64"/>
      <c r="M108" s="64"/>
      <c r="N108" s="64"/>
      <c r="O108" s="257"/>
      <c r="P108" s="64"/>
      <c r="Q108" s="64"/>
      <c r="R108" s="64"/>
      <c r="S108" s="257"/>
      <c r="T108" s="64"/>
      <c r="U108" s="64"/>
      <c r="V108" s="64"/>
      <c r="W108" s="257"/>
      <c r="X108" s="64"/>
      <c r="Y108" s="64"/>
      <c r="Z108" s="64"/>
      <c r="AA108" s="395"/>
      <c r="AB108" s="548"/>
      <c r="AC108" s="548"/>
    </row>
    <row r="109" spans="1:29" s="2" customFormat="1" ht="16.5" customHeight="1" thickTop="1" thickBot="1">
      <c r="A109" s="405" t="s">
        <v>267</v>
      </c>
      <c r="B109" s="405"/>
      <c r="C109" s="405"/>
      <c r="D109" s="405"/>
      <c r="E109" s="408" t="e">
        <f t="shared" ref="E109:AC109" si="105">E95</f>
        <v>#REF!</v>
      </c>
      <c r="F109" s="408" t="e">
        <f t="shared" si="105"/>
        <v>#REF!</v>
      </c>
      <c r="G109" s="408" t="e">
        <f t="shared" si="105"/>
        <v>#REF!</v>
      </c>
      <c r="H109" s="408">
        <f t="shared" si="105"/>
        <v>2025</v>
      </c>
      <c r="I109" s="408">
        <f t="shared" si="105"/>
        <v>2025</v>
      </c>
      <c r="J109" s="408">
        <f t="shared" si="105"/>
        <v>2025</v>
      </c>
      <c r="K109" s="491" t="str">
        <f t="shared" si="105"/>
        <v>Final balance</v>
      </c>
      <c r="L109" s="408">
        <f t="shared" si="105"/>
        <v>2026</v>
      </c>
      <c r="M109" s="408">
        <f t="shared" si="105"/>
        <v>2026</v>
      </c>
      <c r="N109" s="408">
        <f t="shared" si="105"/>
        <v>2026</v>
      </c>
      <c r="O109" s="491" t="str">
        <f t="shared" si="105"/>
        <v>Final balance</v>
      </c>
      <c r="P109" s="408">
        <f t="shared" si="105"/>
        <v>2027</v>
      </c>
      <c r="Q109" s="408">
        <f t="shared" si="105"/>
        <v>2027</v>
      </c>
      <c r="R109" s="408">
        <f t="shared" si="105"/>
        <v>2027</v>
      </c>
      <c r="S109" s="491" t="str">
        <f t="shared" si="105"/>
        <v>Final balance</v>
      </c>
      <c r="T109" s="408">
        <f t="shared" si="105"/>
        <v>2028</v>
      </c>
      <c r="U109" s="408">
        <f t="shared" si="105"/>
        <v>2028</v>
      </c>
      <c r="V109" s="408">
        <f t="shared" si="105"/>
        <v>2028</v>
      </c>
      <c r="W109" s="491" t="str">
        <f t="shared" si="105"/>
        <v>Final balance</v>
      </c>
      <c r="X109" s="408">
        <f t="shared" si="105"/>
        <v>2029</v>
      </c>
      <c r="Y109" s="408">
        <f t="shared" si="105"/>
        <v>2029</v>
      </c>
      <c r="Z109" s="408">
        <f t="shared" si="105"/>
        <v>2029</v>
      </c>
      <c r="AA109" s="408" t="str">
        <f t="shared" si="105"/>
        <v>F/V</v>
      </c>
      <c r="AB109" s="408" t="str">
        <f t="shared" si="105"/>
        <v>//</v>
      </c>
      <c r="AC109" s="408" t="str">
        <f t="shared" si="105"/>
        <v>Ξ</v>
      </c>
    </row>
    <row r="110" spans="1:29" s="2" customFormat="1" ht="16.5" customHeight="1" thickTop="1">
      <c r="A110" s="548" t="s">
        <v>267</v>
      </c>
      <c r="B110" s="548"/>
      <c r="C110" s="496"/>
      <c r="D110" s="548"/>
      <c r="E110" s="239"/>
      <c r="F110" s="540"/>
      <c r="G110" s="214"/>
      <c r="H110" s="239"/>
      <c r="I110" s="540"/>
      <c r="J110" s="214"/>
      <c r="K110" s="404"/>
      <c r="L110" s="239"/>
      <c r="M110" s="540"/>
      <c r="N110" s="214"/>
      <c r="O110" s="404"/>
      <c r="P110" s="239"/>
      <c r="Q110" s="540"/>
      <c r="R110" s="214"/>
      <c r="S110" s="404"/>
      <c r="T110" s="239"/>
      <c r="U110" s="540"/>
      <c r="V110" s="214"/>
      <c r="W110" s="404"/>
      <c r="X110" s="239"/>
      <c r="Y110" s="540"/>
      <c r="Z110" s="214"/>
      <c r="AA110" s="423"/>
      <c r="AB110" s="214"/>
      <c r="AC110" s="214"/>
    </row>
    <row r="111" spans="1:29" s="2" customFormat="1" ht="16.5" customHeight="1">
      <c r="A111" s="419" t="str">
        <f>A110</f>
        <v>Financials and taxation</v>
      </c>
      <c r="B111" s="420"/>
      <c r="C111" s="395" t="s">
        <v>268</v>
      </c>
      <c r="D111" s="2" t="s">
        <v>269</v>
      </c>
      <c r="E111" s="453">
        <v>0</v>
      </c>
      <c r="F111" s="450">
        <v>0</v>
      </c>
      <c r="G111" s="403">
        <f>E111*F111</f>
        <v>0</v>
      </c>
      <c r="H111" s="453">
        <v>0</v>
      </c>
      <c r="I111" s="450">
        <v>0</v>
      </c>
      <c r="J111" s="403">
        <f>H111*I111</f>
        <v>0</v>
      </c>
      <c r="K111" s="422">
        <v>0</v>
      </c>
      <c r="L111" s="453">
        <v>0</v>
      </c>
      <c r="M111" s="450">
        <v>0</v>
      </c>
      <c r="N111" s="403">
        <f>L111*M111</f>
        <v>0</v>
      </c>
      <c r="O111" s="422">
        <f>M111*N111</f>
        <v>0</v>
      </c>
      <c r="P111" s="453">
        <v>0</v>
      </c>
      <c r="Q111" s="450">
        <v>0</v>
      </c>
      <c r="R111" s="403">
        <f>P111*Q111</f>
        <v>0</v>
      </c>
      <c r="S111" s="422">
        <f>Q111*R111</f>
        <v>0</v>
      </c>
      <c r="T111" s="453">
        <v>0</v>
      </c>
      <c r="U111" s="450">
        <v>0</v>
      </c>
      <c r="V111" s="403">
        <f>T111*U111</f>
        <v>0</v>
      </c>
      <c r="W111" s="422">
        <f>U111*V111</f>
        <v>0</v>
      </c>
      <c r="X111" s="453">
        <v>0</v>
      </c>
      <c r="Y111" s="450">
        <v>0</v>
      </c>
      <c r="Z111" s="403">
        <f>X111*Y111</f>
        <v>0</v>
      </c>
      <c r="AA111" s="423" t="s">
        <v>219</v>
      </c>
      <c r="AB111" s="403" t="s">
        <v>123</v>
      </c>
      <c r="AC111" s="423">
        <f>'Controll Panel'!B14</f>
        <v>0</v>
      </c>
    </row>
    <row r="112" spans="1:29" s="2" customFormat="1" ht="16.5" customHeight="1">
      <c r="A112" s="419" t="str">
        <f t="shared" ref="A112:A117" si="106">A111</f>
        <v>Financials and taxation</v>
      </c>
      <c r="B112" s="420"/>
      <c r="C112" s="395" t="s">
        <v>270</v>
      </c>
      <c r="D112" s="2" t="s">
        <v>269</v>
      </c>
      <c r="E112" s="449">
        <v>0</v>
      </c>
      <c r="F112" s="450">
        <v>0</v>
      </c>
      <c r="G112" s="403">
        <f t="shared" ref="G112" si="107">E112*F112</f>
        <v>0</v>
      </c>
      <c r="H112" s="449">
        <v>0</v>
      </c>
      <c r="I112" s="450">
        <v>0</v>
      </c>
      <c r="J112" s="403">
        <f t="shared" ref="J112" si="108">H112*I112</f>
        <v>0</v>
      </c>
      <c r="K112" s="422">
        <v>0</v>
      </c>
      <c r="L112" s="449">
        <v>0</v>
      </c>
      <c r="M112" s="450">
        <v>0</v>
      </c>
      <c r="N112" s="403">
        <f>L112*M112</f>
        <v>0</v>
      </c>
      <c r="O112" s="422">
        <f t="shared" ref="O112" si="109">M112*N112</f>
        <v>0</v>
      </c>
      <c r="P112" s="449">
        <v>0</v>
      </c>
      <c r="Q112" s="450">
        <v>0</v>
      </c>
      <c r="R112" s="403">
        <f>P112*Q112</f>
        <v>0</v>
      </c>
      <c r="S112" s="422">
        <f t="shared" ref="S112" si="110">Q112*R112</f>
        <v>0</v>
      </c>
      <c r="T112" s="449">
        <v>0</v>
      </c>
      <c r="U112" s="450">
        <v>0</v>
      </c>
      <c r="V112" s="403">
        <f>T112*U112</f>
        <v>0</v>
      </c>
      <c r="W112" s="422">
        <f t="shared" ref="W112" si="111">U112*V112</f>
        <v>0</v>
      </c>
      <c r="X112" s="449">
        <v>0</v>
      </c>
      <c r="Y112" s="450">
        <v>0</v>
      </c>
      <c r="Z112" s="403">
        <f>X112*Y112</f>
        <v>0</v>
      </c>
      <c r="AA112" s="423" t="s">
        <v>219</v>
      </c>
      <c r="AB112" s="403" t="s">
        <v>123</v>
      </c>
      <c r="AC112" s="423">
        <f>AC111</f>
        <v>0</v>
      </c>
    </row>
    <row r="113" spans="1:29" s="2" customFormat="1" ht="16.5" customHeight="1">
      <c r="A113" s="419" t="e">
        <f>#REF!</f>
        <v>#REF!</v>
      </c>
      <c r="B113" s="419"/>
      <c r="C113" s="395" t="s">
        <v>271</v>
      </c>
      <c r="D113" s="2" t="s">
        <v>272</v>
      </c>
      <c r="E113" s="453">
        <v>0.32750000000000001</v>
      </c>
      <c r="F113" s="450">
        <v>1</v>
      </c>
      <c r="G113" s="219">
        <f>E113*F113</f>
        <v>0.32750000000000001</v>
      </c>
      <c r="H113" s="453">
        <f>'Controll Panel'!B37</f>
        <v>0.3</v>
      </c>
      <c r="I113" s="450">
        <f>IF('C.E.'!C76&gt;0,'C.E.'!C76,0)</f>
        <v>210537.04177922063</v>
      </c>
      <c r="J113" s="219">
        <f>H113*I113</f>
        <v>63161.112533766187</v>
      </c>
      <c r="K113" s="422">
        <v>0</v>
      </c>
      <c r="L113" s="453">
        <f>'Controll Panel'!C37</f>
        <v>0.3</v>
      </c>
      <c r="M113" s="450">
        <f>IF('C.E.'!D76&gt;0,'C.E.'!D76,0)</f>
        <v>226830.32046103888</v>
      </c>
      <c r="N113" s="219">
        <f>L113*M113</f>
        <v>68049.096138311666</v>
      </c>
      <c r="O113" s="497">
        <v>0</v>
      </c>
      <c r="P113" s="453">
        <f>'Controll Panel'!D37</f>
        <v>0.3</v>
      </c>
      <c r="Q113" s="450">
        <f>IF('C.E.'!E76&gt;0,'C.E.'!E76,0)</f>
        <v>241592.52724627522</v>
      </c>
      <c r="R113" s="219">
        <f>P113*Q113</f>
        <v>72477.758173882568</v>
      </c>
      <c r="S113" s="497">
        <v>0</v>
      </c>
      <c r="T113" s="453">
        <f>'Controll Panel'!E37</f>
        <v>0.3</v>
      </c>
      <c r="U113" s="450">
        <f>IF('C.E.'!F76&gt;0,'C.E.'!F76,0)</f>
        <v>271592.40155409375</v>
      </c>
      <c r="V113" s="219">
        <f>T113*U113</f>
        <v>81477.720466228129</v>
      </c>
      <c r="W113" s="497">
        <v>0</v>
      </c>
      <c r="X113" s="453">
        <f>'Controll Panel'!F37</f>
        <v>0.3</v>
      </c>
      <c r="Y113" s="450">
        <f>IF('C.E.'!G76&gt;0,'C.E.'!G76,0)</f>
        <v>299042.45008250879</v>
      </c>
      <c r="Z113" s="219">
        <f>X113*Y113</f>
        <v>89712.735024752634</v>
      </c>
      <c r="AA113" s="423" t="s">
        <v>219</v>
      </c>
      <c r="AB113" s="403" t="s">
        <v>123</v>
      </c>
      <c r="AC113" s="423">
        <f t="shared" ref="AC113:AC118" si="112">AC112</f>
        <v>0</v>
      </c>
    </row>
    <row r="114" spans="1:29" s="2" customFormat="1" ht="16.5" customHeight="1">
      <c r="A114" s="419" t="e">
        <f t="shared" si="106"/>
        <v>#REF!</v>
      </c>
      <c r="B114" s="419"/>
      <c r="C114" s="395" t="s">
        <v>273</v>
      </c>
      <c r="D114" s="2" t="s">
        <v>269</v>
      </c>
      <c r="E114" s="498">
        <v>0</v>
      </c>
      <c r="F114" s="450">
        <v>0</v>
      </c>
      <c r="G114" s="403">
        <f>IFERROR(F114*E114,0)</f>
        <v>0</v>
      </c>
      <c r="H114" s="498">
        <v>5.0000000000000001E-3</v>
      </c>
      <c r="I114" s="450">
        <f>0.75*'W Plur.'!B142</f>
        <v>611892.27272727271</v>
      </c>
      <c r="J114" s="403">
        <f>IFERROR(I114*H114,0)</f>
        <v>3059.4613636363638</v>
      </c>
      <c r="K114" s="422">
        <v>0</v>
      </c>
      <c r="L114" s="498">
        <v>5.0000000000000001E-3</v>
      </c>
      <c r="M114" s="450">
        <f>0.75*'W Plur.'!C142</f>
        <v>656633.99454545451</v>
      </c>
      <c r="N114" s="403">
        <f>IFERROR(M114*L114,0)</f>
        <v>3283.1699727272726</v>
      </c>
      <c r="O114" s="422">
        <v>0</v>
      </c>
      <c r="P114" s="498">
        <v>5.0000000000000001E-3</v>
      </c>
      <c r="Q114" s="450">
        <f>0.75*'W Plur.'!D142</f>
        <v>702920.6283272726</v>
      </c>
      <c r="R114" s="403">
        <f>IFERROR(Q114*P114,0)</f>
        <v>3514.603141636363</v>
      </c>
      <c r="S114" s="422">
        <v>0</v>
      </c>
      <c r="T114" s="498">
        <v>5.0000000000000001E-3</v>
      </c>
      <c r="U114" s="450">
        <f>0.75*'W Plur.'!E142</f>
        <v>750796.07386254543</v>
      </c>
      <c r="V114" s="403">
        <f>IFERROR(U114*T114,0)</f>
        <v>3753.9803693127274</v>
      </c>
      <c r="W114" s="422">
        <v>0</v>
      </c>
      <c r="X114" s="498">
        <v>5.0000000000000001E-3</v>
      </c>
      <c r="Y114" s="450">
        <f>0.75*'W Plur.'!F142</f>
        <v>800305.36896789819</v>
      </c>
      <c r="Z114" s="403">
        <f>IFERROR(Y114*X114,0)</f>
        <v>4001.5268448394909</v>
      </c>
      <c r="AA114" s="423" t="s">
        <v>219</v>
      </c>
      <c r="AB114" s="403" t="s">
        <v>123</v>
      </c>
      <c r="AC114" s="423">
        <f t="shared" si="112"/>
        <v>0</v>
      </c>
    </row>
    <row r="115" spans="1:29" s="2" customFormat="1" ht="16.5" customHeight="1">
      <c r="A115" s="419" t="e">
        <f t="shared" si="106"/>
        <v>#REF!</v>
      </c>
      <c r="B115" s="419"/>
      <c r="C115" s="395" t="s">
        <v>274</v>
      </c>
      <c r="D115" s="2" t="s">
        <v>269</v>
      </c>
      <c r="E115" s="449">
        <v>0</v>
      </c>
      <c r="F115" s="450">
        <v>0</v>
      </c>
      <c r="G115" s="403">
        <v>0</v>
      </c>
      <c r="H115" s="449">
        <v>0</v>
      </c>
      <c r="I115" s="450">
        <v>0</v>
      </c>
      <c r="J115" s="403">
        <v>0</v>
      </c>
      <c r="K115" s="422">
        <v>0</v>
      </c>
      <c r="L115" s="449">
        <v>1</v>
      </c>
      <c r="M115" s="450">
        <f>Mutui!B12</f>
        <v>0</v>
      </c>
      <c r="N115" s="403">
        <f>M115*L115</f>
        <v>0</v>
      </c>
      <c r="O115" s="422">
        <v>0</v>
      </c>
      <c r="P115" s="449">
        <v>1</v>
      </c>
      <c r="Q115" s="450">
        <f>M115</f>
        <v>0</v>
      </c>
      <c r="R115" s="403">
        <f>Q115*P115</f>
        <v>0</v>
      </c>
      <c r="S115" s="422">
        <v>0</v>
      </c>
      <c r="T115" s="449">
        <v>1</v>
      </c>
      <c r="U115" s="450">
        <f>Q115</f>
        <v>0</v>
      </c>
      <c r="V115" s="403">
        <f>U115*T115</f>
        <v>0</v>
      </c>
      <c r="W115" s="422">
        <v>0</v>
      </c>
      <c r="X115" s="449">
        <v>1</v>
      </c>
      <c r="Y115" s="450">
        <f>U115</f>
        <v>0</v>
      </c>
      <c r="Z115" s="403">
        <f>Y115*X115</f>
        <v>0</v>
      </c>
      <c r="AA115" s="423" t="s">
        <v>219</v>
      </c>
      <c r="AB115" s="403" t="s">
        <v>123</v>
      </c>
      <c r="AC115" s="423">
        <f t="shared" si="112"/>
        <v>0</v>
      </c>
    </row>
    <row r="116" spans="1:29" s="2" customFormat="1" ht="16.5" customHeight="1">
      <c r="A116" s="419" t="e">
        <f t="shared" si="106"/>
        <v>#REF!</v>
      </c>
      <c r="B116" s="419"/>
      <c r="C116" s="395" t="s">
        <v>274</v>
      </c>
      <c r="D116" s="2" t="s">
        <v>269</v>
      </c>
      <c r="E116" s="449">
        <v>0</v>
      </c>
      <c r="F116" s="450">
        <v>0</v>
      </c>
      <c r="G116" s="403">
        <v>0</v>
      </c>
      <c r="H116" s="449">
        <v>0</v>
      </c>
      <c r="I116" s="450">
        <v>0</v>
      </c>
      <c r="J116" s="403">
        <v>0</v>
      </c>
      <c r="K116" s="422">
        <v>0</v>
      </c>
      <c r="L116" s="449">
        <v>0</v>
      </c>
      <c r="M116" s="450">
        <v>0</v>
      </c>
      <c r="N116" s="403">
        <f>M116*L116</f>
        <v>0</v>
      </c>
      <c r="O116" s="422">
        <v>0</v>
      </c>
      <c r="P116" s="449">
        <v>0</v>
      </c>
      <c r="Q116" s="450">
        <v>0</v>
      </c>
      <c r="R116" s="403">
        <f>Q116*P116</f>
        <v>0</v>
      </c>
      <c r="S116" s="422">
        <v>0</v>
      </c>
      <c r="T116" s="449">
        <v>0</v>
      </c>
      <c r="U116" s="450">
        <v>0</v>
      </c>
      <c r="V116" s="403">
        <f>U116*T116</f>
        <v>0</v>
      </c>
      <c r="W116" s="422">
        <v>0</v>
      </c>
      <c r="X116" s="449">
        <v>0</v>
      </c>
      <c r="Y116" s="450">
        <v>0</v>
      </c>
      <c r="Z116" s="403">
        <f>Y116*X116</f>
        <v>0</v>
      </c>
      <c r="AA116" s="423" t="s">
        <v>219</v>
      </c>
      <c r="AB116" s="403" t="s">
        <v>123</v>
      </c>
      <c r="AC116" s="423">
        <f t="shared" si="112"/>
        <v>0</v>
      </c>
    </row>
    <row r="117" spans="1:29" s="2" customFormat="1" ht="16.5" customHeight="1">
      <c r="A117" s="419" t="e">
        <f t="shared" si="106"/>
        <v>#REF!</v>
      </c>
      <c r="B117" s="419"/>
      <c r="C117" s="395" t="s">
        <v>274</v>
      </c>
      <c r="D117" s="2" t="s">
        <v>269</v>
      </c>
      <c r="E117" s="449">
        <v>0</v>
      </c>
      <c r="F117" s="450">
        <v>0</v>
      </c>
      <c r="G117" s="403">
        <v>0</v>
      </c>
      <c r="H117" s="449">
        <v>0</v>
      </c>
      <c r="I117" s="450">
        <v>0</v>
      </c>
      <c r="J117" s="403">
        <v>0</v>
      </c>
      <c r="K117" s="422">
        <v>0</v>
      </c>
      <c r="L117" s="449">
        <v>0</v>
      </c>
      <c r="M117" s="450">
        <v>0</v>
      </c>
      <c r="N117" s="403">
        <f>M117*L117</f>
        <v>0</v>
      </c>
      <c r="O117" s="422">
        <v>0</v>
      </c>
      <c r="P117" s="449">
        <v>0</v>
      </c>
      <c r="Q117" s="450">
        <v>0</v>
      </c>
      <c r="R117" s="403">
        <f>Q117*P117</f>
        <v>0</v>
      </c>
      <c r="S117" s="422">
        <v>0</v>
      </c>
      <c r="T117" s="449">
        <v>0</v>
      </c>
      <c r="U117" s="450">
        <v>0</v>
      </c>
      <c r="V117" s="403">
        <f>U117*T117</f>
        <v>0</v>
      </c>
      <c r="W117" s="422">
        <v>0</v>
      </c>
      <c r="X117" s="449">
        <v>0</v>
      </c>
      <c r="Y117" s="450">
        <v>0</v>
      </c>
      <c r="Z117" s="403">
        <f>Y117*X117</f>
        <v>0</v>
      </c>
      <c r="AA117" s="423" t="s">
        <v>219</v>
      </c>
      <c r="AB117" s="403" t="s">
        <v>123</v>
      </c>
      <c r="AC117" s="423">
        <f t="shared" si="112"/>
        <v>0</v>
      </c>
    </row>
    <row r="118" spans="1:29" s="2" customFormat="1" ht="16.5" customHeight="1">
      <c r="A118" s="222" t="s">
        <v>80</v>
      </c>
      <c r="B118" s="222"/>
      <c r="C118" s="222"/>
      <c r="D118" s="549"/>
      <c r="E118" s="473"/>
      <c r="F118" s="541"/>
      <c r="G118" s="224">
        <f>SUM(G111:G117)</f>
        <v>0.32750000000000001</v>
      </c>
      <c r="H118" s="473"/>
      <c r="I118" s="541"/>
      <c r="J118" s="224">
        <f>SUM(J111:J117)</f>
        <v>66220.573897402544</v>
      </c>
      <c r="K118" s="428">
        <f>SUM(K111:K117)</f>
        <v>0</v>
      </c>
      <c r="L118" s="473"/>
      <c r="M118" s="541"/>
      <c r="N118" s="224">
        <f>SUM(N111:N117)</f>
        <v>71332.266111038945</v>
      </c>
      <c r="O118" s="428">
        <f>SUM(O111:O117)</f>
        <v>0</v>
      </c>
      <c r="P118" s="473"/>
      <c r="Q118" s="541"/>
      <c r="R118" s="224">
        <f>SUM(R111:R117)</f>
        <v>75992.361315518938</v>
      </c>
      <c r="S118" s="428">
        <f>SUM(S111:S117)</f>
        <v>0</v>
      </c>
      <c r="T118" s="473"/>
      <c r="U118" s="541"/>
      <c r="V118" s="224">
        <f>SUM(V111:V117)</f>
        <v>85231.700835540862</v>
      </c>
      <c r="W118" s="428">
        <f>SUM(W111:W117)</f>
        <v>0</v>
      </c>
      <c r="X118" s="473"/>
      <c r="Y118" s="541"/>
      <c r="Z118" s="224">
        <f>SUM(Z111:Z117)</f>
        <v>93714.261869592126</v>
      </c>
      <c r="AA118" s="429"/>
      <c r="AB118" s="474"/>
      <c r="AC118" s="423">
        <f t="shared" si="112"/>
        <v>0</v>
      </c>
    </row>
    <row r="119" spans="1:29" s="2" customFormat="1" ht="16.5" customHeight="1" thickBot="1">
      <c r="A119" s="270"/>
      <c r="B119" s="270"/>
      <c r="C119" s="499"/>
      <c r="D119" s="270"/>
      <c r="E119" s="460"/>
      <c r="F119" s="493"/>
      <c r="G119" s="465"/>
      <c r="H119" s="460"/>
      <c r="I119" s="493"/>
      <c r="J119" s="465"/>
      <c r="K119" s="494"/>
      <c r="L119" s="460"/>
      <c r="M119" s="493"/>
      <c r="N119" s="465"/>
      <c r="O119" s="494"/>
      <c r="P119" s="460"/>
      <c r="Q119" s="493"/>
      <c r="R119" s="465"/>
      <c r="S119" s="494"/>
      <c r="T119" s="460"/>
      <c r="U119" s="493"/>
      <c r="V119" s="465"/>
      <c r="W119" s="494"/>
      <c r="X119" s="460"/>
      <c r="Y119" s="493"/>
      <c r="Z119" s="465"/>
      <c r="AA119" s="495"/>
      <c r="AB119" s="465"/>
      <c r="AC119" s="465"/>
    </row>
    <row r="120" spans="1:29" s="2" customFormat="1" ht="16.5" customHeight="1" thickTop="1" thickBot="1">
      <c r="A120" s="466" t="str">
        <f>"Totale "&amp;A109</f>
        <v>Totale Financials and taxation</v>
      </c>
      <c r="B120" s="466"/>
      <c r="C120" s="466"/>
      <c r="D120" s="467"/>
      <c r="E120" s="441"/>
      <c r="F120" s="441"/>
      <c r="G120" s="441">
        <f>G118</f>
        <v>0.32750000000000001</v>
      </c>
      <c r="H120" s="441"/>
      <c r="I120" s="441"/>
      <c r="J120" s="441">
        <f>J118</f>
        <v>66220.573897402544</v>
      </c>
      <c r="K120" s="442">
        <f>K118</f>
        <v>0</v>
      </c>
      <c r="L120" s="441"/>
      <c r="M120" s="441"/>
      <c r="N120" s="441">
        <f>N118</f>
        <v>71332.266111038945</v>
      </c>
      <c r="O120" s="442">
        <f>O118</f>
        <v>0</v>
      </c>
      <c r="P120" s="441"/>
      <c r="Q120" s="441"/>
      <c r="R120" s="441">
        <f>R118</f>
        <v>75992.361315518938</v>
      </c>
      <c r="S120" s="442">
        <f>S118</f>
        <v>0</v>
      </c>
      <c r="T120" s="441"/>
      <c r="U120" s="441"/>
      <c r="V120" s="441">
        <f>V118</f>
        <v>85231.700835540862</v>
      </c>
      <c r="W120" s="442">
        <f>W118</f>
        <v>0</v>
      </c>
      <c r="X120" s="441"/>
      <c r="Y120" s="441"/>
      <c r="Z120" s="441">
        <f>Z118</f>
        <v>93714.261869592126</v>
      </c>
      <c r="AA120" s="479"/>
      <c r="AB120" s="440"/>
      <c r="AC120" s="440"/>
    </row>
    <row r="121" spans="1:29" s="2" customFormat="1" ht="16.5" customHeight="1" thickTop="1" thickBot="1">
      <c r="A121" s="440"/>
      <c r="B121" s="440"/>
      <c r="C121" s="500"/>
      <c r="D121" s="440"/>
      <c r="E121" s="483"/>
      <c r="F121" s="484"/>
      <c r="G121" s="485"/>
      <c r="H121" s="483"/>
      <c r="I121" s="484"/>
      <c r="J121" s="485"/>
      <c r="K121" s="486"/>
      <c r="L121" s="483"/>
      <c r="M121" s="484"/>
      <c r="N121" s="485"/>
      <c r="O121" s="486"/>
      <c r="P121" s="483"/>
      <c r="Q121" s="484"/>
      <c r="R121" s="485"/>
      <c r="S121" s="486"/>
      <c r="T121" s="483"/>
      <c r="U121" s="484"/>
      <c r="V121" s="485"/>
      <c r="W121" s="486"/>
      <c r="X121" s="483"/>
      <c r="Y121" s="484"/>
      <c r="Z121" s="485"/>
      <c r="AA121" s="487"/>
      <c r="AB121" s="485"/>
      <c r="AC121" s="485"/>
    </row>
    <row r="122" spans="1:29" s="2" customFormat="1" ht="16.5" customHeight="1" thickTop="1" thickBot="1">
      <c r="A122" s="501" t="s">
        <v>80</v>
      </c>
      <c r="B122" s="501"/>
      <c r="C122" s="501"/>
      <c r="D122" s="502"/>
      <c r="E122" s="503"/>
      <c r="F122" s="503"/>
      <c r="G122" s="503" t="e">
        <f>G120+G107+#REF!+G93+G83+G54+#REF!+G26</f>
        <v>#REF!</v>
      </c>
      <c r="H122" s="503"/>
      <c r="I122" s="503"/>
      <c r="J122" s="503">
        <f>J120+J107+J93+J83+J54+J26</f>
        <v>606104.07075454539</v>
      </c>
      <c r="K122" s="504">
        <f>K120+K107+K93+K83+K54+K26</f>
        <v>0</v>
      </c>
      <c r="L122" s="503"/>
      <c r="M122" s="503"/>
      <c r="N122" s="503">
        <f>N120+N107+N93+N83+N54+N26</f>
        <v>649596.59385909094</v>
      </c>
      <c r="O122" s="504">
        <f>O120+O107+O93+O83+O54+O26</f>
        <v>0</v>
      </c>
      <c r="P122" s="503"/>
      <c r="Q122" s="503"/>
      <c r="R122" s="503">
        <f>R120+R107+R93+R83+R54+R26</f>
        <v>696055.38801851636</v>
      </c>
      <c r="S122" s="504">
        <f>S120+S107+S93+S83+S54+S26</f>
        <v>0</v>
      </c>
      <c r="T122" s="503"/>
      <c r="U122" s="503"/>
      <c r="V122" s="503">
        <f>V120+V107+V93+V83+V54+V26</f>
        <v>733796.15734122531</v>
      </c>
      <c r="W122" s="504">
        <f>W120+W107+W93+W83+W54+W26</f>
        <v>0</v>
      </c>
      <c r="X122" s="503"/>
      <c r="Y122" s="503"/>
      <c r="Z122" s="503">
        <f>Z120+Z107+Z93+Z83+Z54+Z26</f>
        <v>775325.36390020757</v>
      </c>
      <c r="AA122" s="504"/>
      <c r="AB122" s="502"/>
      <c r="AC122" s="502"/>
    </row>
    <row r="123" spans="1:29" s="2" customFormat="1" ht="16.5" customHeight="1" thickTop="1">
      <c r="A123" s="548"/>
      <c r="B123" s="548"/>
      <c r="C123" s="548"/>
      <c r="D123" s="548"/>
      <c r="E123" s="548"/>
      <c r="F123" s="548"/>
      <c r="G123" s="548"/>
      <c r="H123" s="239"/>
      <c r="I123" s="540"/>
      <c r="J123" s="214"/>
      <c r="K123" s="402"/>
      <c r="L123" s="239"/>
      <c r="M123" s="540"/>
      <c r="N123" s="214"/>
      <c r="O123" s="402"/>
      <c r="P123" s="239"/>
      <c r="Q123" s="540"/>
      <c r="R123" s="214"/>
      <c r="S123" s="402"/>
      <c r="T123" s="239"/>
      <c r="U123" s="540"/>
      <c r="V123" s="214"/>
      <c r="W123" s="402"/>
      <c r="X123" s="239"/>
      <c r="Y123" s="540"/>
      <c r="Z123" s="214"/>
      <c r="AA123" s="423"/>
      <c r="AB123" s="214"/>
      <c r="AC123" s="214"/>
    </row>
    <row r="124" spans="1:29" s="2" customFormat="1" ht="16.5" customHeight="1">
      <c r="A124" s="548"/>
      <c r="B124" s="548"/>
      <c r="C124" s="548"/>
      <c r="D124" s="548"/>
      <c r="E124" s="548"/>
      <c r="F124" s="548"/>
      <c r="G124" s="548"/>
      <c r="H124" s="239"/>
      <c r="I124" s="540"/>
      <c r="J124" s="219"/>
      <c r="K124" s="497"/>
      <c r="L124" s="219"/>
      <c r="M124" s="219"/>
      <c r="N124" s="219"/>
      <c r="O124" s="497"/>
      <c r="P124" s="239"/>
      <c r="Q124" s="540"/>
      <c r="R124" s="214"/>
      <c r="S124" s="497"/>
      <c r="T124" s="239"/>
      <c r="U124" s="540"/>
      <c r="V124" s="214"/>
      <c r="W124" s="497"/>
      <c r="X124" s="239"/>
      <c r="Y124" s="540"/>
      <c r="Z124" s="214"/>
      <c r="AA124" s="423"/>
      <c r="AB124" s="214"/>
      <c r="AC124" s="214"/>
    </row>
    <row r="125" spans="1:29" s="2" customFormat="1" ht="16.5" customHeight="1">
      <c r="A125" s="548"/>
      <c r="B125" s="548"/>
      <c r="C125" s="548"/>
      <c r="D125" s="548"/>
      <c r="E125" s="548"/>
      <c r="F125" s="548"/>
      <c r="G125" s="548"/>
      <c r="H125" s="239"/>
      <c r="I125" s="540"/>
      <c r="J125" s="540"/>
      <c r="K125" s="402"/>
      <c r="L125" s="239"/>
      <c r="M125" s="540"/>
      <c r="N125" s="540"/>
      <c r="O125" s="402"/>
      <c r="P125" s="239"/>
      <c r="Q125" s="540"/>
      <c r="R125" s="540"/>
      <c r="S125" s="402"/>
      <c r="T125" s="239"/>
      <c r="U125" s="540"/>
      <c r="V125" s="540"/>
      <c r="W125" s="402"/>
      <c r="X125" s="239"/>
      <c r="Y125" s="540"/>
      <c r="Z125" s="540"/>
      <c r="AA125" s="403"/>
      <c r="AB125" s="540"/>
      <c r="AC125" s="214"/>
    </row>
    <row r="126" spans="1:29" s="2" customFormat="1" ht="16.5" customHeight="1">
      <c r="A126" s="548"/>
      <c r="B126" s="548"/>
      <c r="C126" s="548"/>
      <c r="D126" s="548"/>
      <c r="E126" s="548"/>
      <c r="F126" s="548"/>
      <c r="G126" s="548"/>
      <c r="H126" s="239"/>
      <c r="I126" s="540"/>
      <c r="J126" s="214"/>
      <c r="K126" s="402"/>
      <c r="L126" s="239"/>
      <c r="M126" s="540"/>
      <c r="N126" s="214"/>
      <c r="O126" s="402"/>
      <c r="P126" s="239"/>
      <c r="Q126" s="540"/>
      <c r="R126" s="214"/>
      <c r="S126" s="402"/>
      <c r="T126" s="239"/>
      <c r="U126" s="540"/>
      <c r="V126" s="214"/>
      <c r="W126" s="402"/>
      <c r="X126" s="239"/>
      <c r="Y126" s="540"/>
      <c r="Z126" s="214"/>
      <c r="AA126" s="423"/>
      <c r="AB126" s="214"/>
      <c r="AC126" s="214"/>
    </row>
    <row r="127" spans="1:29" s="2" customFormat="1" ht="16.5" customHeight="1">
      <c r="A127" s="548"/>
      <c r="B127" s="548"/>
      <c r="C127" s="548"/>
      <c r="D127" s="548"/>
      <c r="E127" s="548"/>
      <c r="F127" s="548"/>
      <c r="G127" s="548"/>
      <c r="H127" s="239"/>
      <c r="I127" s="540"/>
      <c r="J127" s="214"/>
      <c r="K127" s="402"/>
      <c r="L127" s="239"/>
      <c r="M127" s="540"/>
      <c r="N127" s="214"/>
      <c r="O127" s="402"/>
      <c r="P127" s="239"/>
      <c r="Q127" s="540"/>
      <c r="R127" s="214"/>
      <c r="S127" s="402"/>
      <c r="T127" s="239"/>
      <c r="U127" s="540"/>
      <c r="V127" s="214"/>
      <c r="W127" s="402"/>
      <c r="X127" s="239"/>
      <c r="Y127" s="540"/>
      <c r="Z127" s="214"/>
      <c r="AA127" s="423"/>
      <c r="AB127" s="214"/>
      <c r="AC127" s="214"/>
    </row>
    <row r="128" spans="1:29" s="2" customFormat="1" ht="16.5" customHeight="1">
      <c r="A128" s="548"/>
      <c r="B128" s="548"/>
      <c r="C128" s="548"/>
      <c r="D128" s="548"/>
      <c r="E128" s="548"/>
      <c r="F128" s="548"/>
      <c r="G128" s="548"/>
      <c r="H128" s="239"/>
      <c r="I128" s="540"/>
      <c r="J128" s="214"/>
      <c r="K128" s="402"/>
      <c r="L128" s="239"/>
      <c r="M128" s="540"/>
      <c r="N128" s="214"/>
      <c r="O128" s="402"/>
      <c r="P128" s="239"/>
      <c r="Q128" s="540"/>
      <c r="R128" s="214"/>
      <c r="S128" s="402"/>
      <c r="T128" s="239"/>
      <c r="U128" s="540"/>
      <c r="V128" s="214"/>
      <c r="W128" s="402"/>
      <c r="X128" s="239"/>
      <c r="Y128" s="540"/>
      <c r="Z128" s="214"/>
      <c r="AA128" s="423"/>
      <c r="AB128" s="214"/>
      <c r="AC128" s="214"/>
    </row>
    <row r="129" spans="1:29" s="2" customFormat="1" ht="16.5" customHeight="1">
      <c r="A129" s="548"/>
      <c r="B129" s="548"/>
      <c r="C129" s="548"/>
      <c r="D129" s="548"/>
      <c r="E129" s="548"/>
      <c r="F129" s="548"/>
      <c r="G129" s="548"/>
      <c r="H129" s="239"/>
      <c r="I129" s="540"/>
      <c r="J129" s="214"/>
      <c r="K129" s="402"/>
      <c r="L129" s="239"/>
      <c r="M129" s="540"/>
      <c r="N129" s="214"/>
      <c r="O129" s="402"/>
      <c r="P129" s="239"/>
      <c r="Q129" s="540"/>
      <c r="R129" s="214"/>
      <c r="S129" s="402"/>
      <c r="T129" s="239"/>
      <c r="U129" s="540"/>
      <c r="V129" s="214"/>
      <c r="W129" s="402"/>
      <c r="X129" s="239"/>
      <c r="Y129" s="540"/>
      <c r="Z129" s="214"/>
      <c r="AA129" s="423"/>
      <c r="AB129" s="214"/>
      <c r="AC129" s="214"/>
    </row>
    <row r="130" spans="1:29" s="2" customFormat="1" ht="16.5" customHeight="1">
      <c r="A130" s="548"/>
      <c r="B130" s="548"/>
      <c r="C130" s="548"/>
      <c r="D130" s="548"/>
      <c r="E130" s="548"/>
      <c r="F130" s="548"/>
      <c r="G130" s="548"/>
      <c r="H130" s="239"/>
      <c r="I130" s="540"/>
      <c r="J130" s="214"/>
      <c r="K130" s="402"/>
      <c r="L130" s="239"/>
      <c r="M130" s="540"/>
      <c r="N130" s="214"/>
      <c r="O130" s="402"/>
      <c r="P130" s="239"/>
      <c r="Q130" s="540"/>
      <c r="R130" s="214"/>
      <c r="S130" s="402"/>
      <c r="T130" s="239"/>
      <c r="U130" s="540"/>
      <c r="V130" s="214"/>
      <c r="W130" s="402"/>
      <c r="X130" s="239"/>
      <c r="Y130" s="540"/>
      <c r="Z130" s="214"/>
      <c r="AA130" s="423"/>
      <c r="AB130" s="214"/>
      <c r="AC130" s="214"/>
    </row>
    <row r="131" spans="1:29" s="2" customFormat="1" ht="16.5" customHeight="1">
      <c r="A131" s="548"/>
      <c r="B131" s="548"/>
      <c r="C131" s="548"/>
      <c r="D131" s="548"/>
      <c r="E131" s="548"/>
      <c r="F131" s="548"/>
      <c r="G131" s="548"/>
      <c r="H131" s="239"/>
      <c r="I131" s="540"/>
      <c r="J131" s="214"/>
      <c r="K131" s="402"/>
      <c r="L131" s="239"/>
      <c r="M131" s="540"/>
      <c r="N131" s="214"/>
      <c r="O131" s="402"/>
      <c r="P131" s="239"/>
      <c r="Q131" s="540"/>
      <c r="R131" s="214"/>
      <c r="S131" s="402"/>
      <c r="T131" s="239"/>
      <c r="U131" s="540"/>
      <c r="V131" s="214"/>
      <c r="W131" s="402"/>
      <c r="X131" s="239"/>
      <c r="Y131" s="540"/>
      <c r="Z131" s="214"/>
      <c r="AA131" s="423"/>
      <c r="AB131" s="214"/>
      <c r="AC131" s="214"/>
    </row>
    <row r="132" spans="1:29" s="2" customFormat="1" ht="16.5" customHeight="1">
      <c r="A132" s="548"/>
      <c r="B132" s="548"/>
      <c r="C132" s="548"/>
      <c r="D132" s="548"/>
      <c r="E132" s="548"/>
      <c r="F132" s="548"/>
      <c r="G132" s="548"/>
      <c r="H132" s="239"/>
      <c r="I132" s="540"/>
      <c r="J132" s="214"/>
      <c r="K132" s="402"/>
      <c r="L132" s="239"/>
      <c r="M132" s="540"/>
      <c r="N132" s="214"/>
      <c r="O132" s="402"/>
      <c r="P132" s="239"/>
      <c r="Q132" s="540"/>
      <c r="R132" s="214"/>
      <c r="S132" s="402"/>
      <c r="T132" s="239"/>
      <c r="U132" s="540"/>
      <c r="V132" s="214"/>
      <c r="W132" s="402"/>
      <c r="X132" s="239"/>
      <c r="Y132" s="540"/>
      <c r="Z132" s="214"/>
      <c r="AA132" s="423"/>
      <c r="AB132" s="214"/>
      <c r="AC132" s="214"/>
    </row>
    <row r="133" spans="1:29" s="2" customFormat="1" ht="16.5" customHeight="1">
      <c r="A133" s="548"/>
      <c r="B133" s="548"/>
      <c r="C133" s="548"/>
      <c r="D133" s="548"/>
      <c r="E133" s="548"/>
      <c r="F133" s="548"/>
      <c r="G133" s="548"/>
      <c r="H133" s="239"/>
      <c r="I133" s="540"/>
      <c r="J133" s="214"/>
      <c r="K133" s="402"/>
      <c r="L133" s="239"/>
      <c r="M133" s="540"/>
      <c r="N133" s="214"/>
      <c r="O133" s="402"/>
      <c r="P133" s="239"/>
      <c r="Q133" s="540"/>
      <c r="R133" s="214"/>
      <c r="S133" s="402"/>
      <c r="T133" s="239"/>
      <c r="U133" s="540"/>
      <c r="V133" s="214"/>
      <c r="W133" s="402"/>
      <c r="X133" s="239"/>
      <c r="Y133" s="540"/>
      <c r="Z133" s="214"/>
      <c r="AA133" s="423"/>
      <c r="AB133" s="214"/>
      <c r="AC133" s="214"/>
    </row>
    <row r="134" spans="1:29" s="2" customFormat="1" ht="16.5" customHeight="1">
      <c r="A134" s="548"/>
      <c r="B134" s="548"/>
      <c r="C134" s="548"/>
      <c r="D134" s="548"/>
      <c r="E134" s="548"/>
      <c r="F134" s="548"/>
      <c r="G134" s="548"/>
      <c r="H134" s="239"/>
      <c r="I134" s="540"/>
      <c r="J134" s="214"/>
      <c r="K134" s="402"/>
      <c r="L134" s="239"/>
      <c r="M134" s="540"/>
      <c r="N134" s="214"/>
      <c r="O134" s="402"/>
      <c r="P134" s="239"/>
      <c r="Q134" s="540"/>
      <c r="R134" s="214"/>
      <c r="S134" s="402"/>
      <c r="T134" s="239"/>
      <c r="U134" s="540"/>
      <c r="V134" s="214"/>
      <c r="W134" s="402"/>
      <c r="X134" s="239"/>
      <c r="Y134" s="540"/>
      <c r="Z134" s="214"/>
      <c r="AA134" s="423"/>
      <c r="AB134" s="214"/>
      <c r="AC134" s="214"/>
    </row>
    <row r="135" spans="1:29" s="2" customFormat="1" ht="16.5" customHeight="1">
      <c r="A135" s="548"/>
      <c r="B135" s="548"/>
      <c r="C135" s="548"/>
      <c r="D135" s="548"/>
      <c r="E135" s="548"/>
      <c r="F135" s="548"/>
      <c r="G135" s="548"/>
      <c r="H135" s="239"/>
      <c r="I135" s="540"/>
      <c r="J135" s="214"/>
      <c r="K135" s="402"/>
      <c r="L135" s="239"/>
      <c r="M135" s="540"/>
      <c r="N135" s="214"/>
      <c r="O135" s="402"/>
      <c r="P135" s="239"/>
      <c r="Q135" s="540"/>
      <c r="R135" s="214"/>
      <c r="S135" s="402"/>
      <c r="T135" s="239"/>
      <c r="U135" s="540"/>
      <c r="V135" s="214"/>
      <c r="W135" s="402"/>
      <c r="X135" s="239"/>
      <c r="Y135" s="540"/>
      <c r="Z135" s="214"/>
      <c r="AA135" s="423"/>
      <c r="AB135" s="214"/>
      <c r="AC135" s="214"/>
    </row>
    <row r="136" spans="1:29" s="2" customFormat="1" ht="16.5" customHeight="1">
      <c r="A136" s="548"/>
      <c r="B136" s="548"/>
      <c r="C136" s="548"/>
      <c r="D136" s="548"/>
      <c r="E136" s="548"/>
      <c r="F136" s="548"/>
      <c r="G136" s="548"/>
      <c r="H136" s="239"/>
      <c r="I136" s="540"/>
      <c r="J136" s="214"/>
      <c r="K136" s="402"/>
      <c r="L136" s="239"/>
      <c r="M136" s="540"/>
      <c r="N136" s="214"/>
      <c r="O136" s="402"/>
      <c r="P136" s="239"/>
      <c r="Q136" s="540"/>
      <c r="R136" s="214"/>
      <c r="S136" s="402"/>
      <c r="T136" s="239"/>
      <c r="U136" s="540"/>
      <c r="V136" s="214"/>
      <c r="W136" s="402"/>
      <c r="X136" s="239"/>
      <c r="Y136" s="540"/>
      <c r="Z136" s="214"/>
      <c r="AA136" s="423"/>
      <c r="AB136" s="214"/>
      <c r="AC136" s="214"/>
    </row>
    <row r="137" spans="1:29" s="2" customFormat="1" ht="16.5" customHeight="1">
      <c r="A137" s="548"/>
      <c r="B137" s="548"/>
      <c r="C137" s="548"/>
      <c r="D137" s="548"/>
      <c r="E137" s="548"/>
      <c r="F137" s="548"/>
      <c r="G137" s="548"/>
      <c r="H137" s="239"/>
      <c r="I137" s="540"/>
      <c r="J137" s="214"/>
      <c r="K137" s="402"/>
      <c r="L137" s="239"/>
      <c r="M137" s="540"/>
      <c r="N137" s="214"/>
      <c r="O137" s="402"/>
      <c r="P137" s="239"/>
      <c r="Q137" s="540"/>
      <c r="R137" s="214"/>
      <c r="S137" s="402"/>
      <c r="T137" s="239"/>
      <c r="U137" s="540"/>
      <c r="V137" s="214"/>
      <c r="W137" s="402"/>
      <c r="X137" s="239"/>
      <c r="Y137" s="540"/>
      <c r="Z137" s="214"/>
      <c r="AA137" s="423"/>
      <c r="AB137" s="214"/>
      <c r="AC137" s="214"/>
    </row>
    <row r="138" spans="1:29" s="2" customFormat="1" ht="16.5" customHeight="1">
      <c r="A138" s="548"/>
      <c r="B138" s="548"/>
      <c r="C138" s="548"/>
      <c r="D138" s="548"/>
      <c r="E138" s="548"/>
      <c r="F138" s="548"/>
      <c r="G138" s="548"/>
      <c r="H138" s="239"/>
      <c r="I138" s="540"/>
      <c r="J138" s="214"/>
      <c r="K138" s="402"/>
      <c r="L138" s="239"/>
      <c r="M138" s="540"/>
      <c r="N138" s="214"/>
      <c r="O138" s="402"/>
      <c r="P138" s="239"/>
      <c r="Q138" s="540"/>
      <c r="R138" s="214"/>
      <c r="S138" s="402"/>
      <c r="T138" s="239"/>
      <c r="U138" s="540"/>
      <c r="V138" s="214"/>
      <c r="W138" s="402"/>
      <c r="X138" s="239"/>
      <c r="Y138" s="540"/>
      <c r="Z138" s="214"/>
      <c r="AA138" s="423"/>
      <c r="AB138" s="214"/>
      <c r="AC138" s="214"/>
    </row>
    <row r="139" spans="1:29" s="2" customFormat="1" ht="16.5" customHeight="1">
      <c r="A139" s="548"/>
      <c r="B139" s="548"/>
      <c r="C139" s="548"/>
      <c r="D139" s="548"/>
      <c r="E139" s="548"/>
      <c r="F139" s="548"/>
      <c r="G139" s="548"/>
      <c r="H139" s="239"/>
      <c r="I139" s="540"/>
      <c r="J139" s="214"/>
      <c r="K139" s="402"/>
      <c r="L139" s="239"/>
      <c r="M139" s="540"/>
      <c r="N139" s="214"/>
      <c r="O139" s="402"/>
      <c r="P139" s="239"/>
      <c r="Q139" s="540"/>
      <c r="R139" s="214"/>
      <c r="S139" s="402"/>
      <c r="T139" s="239"/>
      <c r="U139" s="540"/>
      <c r="V139" s="214"/>
      <c r="W139" s="402"/>
      <c r="X139" s="239"/>
      <c r="Y139" s="540"/>
      <c r="Z139" s="214"/>
      <c r="AA139" s="423"/>
      <c r="AB139" s="214"/>
      <c r="AC139" s="214"/>
    </row>
    <row r="140" spans="1:29" s="2" customFormat="1" ht="16.5" customHeight="1">
      <c r="A140" s="548"/>
      <c r="B140" s="548"/>
      <c r="C140" s="548"/>
      <c r="D140" s="548"/>
      <c r="E140" s="548"/>
      <c r="F140" s="548"/>
      <c r="G140" s="548"/>
      <c r="H140" s="239"/>
      <c r="I140" s="540"/>
      <c r="J140" s="214"/>
      <c r="K140" s="402"/>
      <c r="L140" s="239"/>
      <c r="M140" s="540"/>
      <c r="N140" s="214"/>
      <c r="O140" s="402"/>
      <c r="P140" s="239"/>
      <c r="Q140" s="540"/>
      <c r="R140" s="214"/>
      <c r="S140" s="402"/>
      <c r="T140" s="239"/>
      <c r="U140" s="540"/>
      <c r="V140" s="214"/>
      <c r="W140" s="402"/>
      <c r="X140" s="239"/>
      <c r="Y140" s="540"/>
      <c r="Z140" s="214"/>
      <c r="AA140" s="423"/>
      <c r="AB140" s="214"/>
      <c r="AC140" s="214"/>
    </row>
    <row r="141" spans="1:29" s="2" customFormat="1" ht="16.5" customHeight="1">
      <c r="A141" s="548"/>
      <c r="B141" s="548"/>
      <c r="C141" s="548"/>
      <c r="D141" s="548"/>
      <c r="E141" s="548"/>
      <c r="F141" s="548"/>
      <c r="G141" s="548"/>
      <c r="H141" s="239"/>
      <c r="I141" s="540"/>
      <c r="J141" s="214"/>
      <c r="K141" s="402"/>
      <c r="L141" s="239"/>
      <c r="M141" s="540"/>
      <c r="N141" s="214"/>
      <c r="O141" s="402"/>
      <c r="P141" s="239"/>
      <c r="Q141" s="540"/>
      <c r="R141" s="214"/>
      <c r="S141" s="402"/>
      <c r="T141" s="239"/>
      <c r="U141" s="540"/>
      <c r="V141" s="214"/>
      <c r="W141" s="402"/>
      <c r="X141" s="239"/>
      <c r="Y141" s="540"/>
      <c r="Z141" s="214"/>
      <c r="AA141" s="423"/>
      <c r="AB141" s="214"/>
      <c r="AC141" s="214"/>
    </row>
    <row r="142" spans="1:29" s="2" customFormat="1" ht="16.5" customHeight="1">
      <c r="A142" s="548"/>
      <c r="B142" s="548"/>
      <c r="C142" s="548"/>
      <c r="D142" s="548"/>
      <c r="E142" s="548"/>
      <c r="F142" s="548"/>
      <c r="G142" s="548"/>
      <c r="H142" s="239"/>
      <c r="I142" s="540"/>
      <c r="J142" s="214"/>
      <c r="K142" s="402"/>
      <c r="L142" s="239"/>
      <c r="M142" s="540"/>
      <c r="N142" s="214"/>
      <c r="O142" s="402"/>
      <c r="P142" s="239"/>
      <c r="Q142" s="540"/>
      <c r="R142" s="214"/>
      <c r="S142" s="402"/>
      <c r="T142" s="239"/>
      <c r="U142" s="540"/>
      <c r="V142" s="214"/>
      <c r="W142" s="402"/>
      <c r="X142" s="239"/>
      <c r="Y142" s="540"/>
      <c r="Z142" s="214"/>
      <c r="AA142" s="423"/>
      <c r="AB142" s="214"/>
      <c r="AC142" s="214"/>
    </row>
    <row r="143" spans="1:29" s="2" customFormat="1" ht="16.5" customHeight="1">
      <c r="A143" s="548"/>
      <c r="B143" s="548"/>
      <c r="C143" s="548"/>
      <c r="D143" s="548"/>
      <c r="E143" s="548"/>
      <c r="F143" s="548"/>
      <c r="G143" s="548"/>
      <c r="H143" s="239"/>
      <c r="I143" s="540"/>
      <c r="J143" s="214"/>
      <c r="K143" s="402"/>
      <c r="L143" s="239"/>
      <c r="M143" s="540"/>
      <c r="N143" s="214"/>
      <c r="O143" s="402"/>
      <c r="P143" s="239"/>
      <c r="Q143" s="540"/>
      <c r="R143" s="214"/>
      <c r="S143" s="402"/>
      <c r="T143" s="239"/>
      <c r="U143" s="540"/>
      <c r="V143" s="214"/>
      <c r="W143" s="402"/>
      <c r="X143" s="239"/>
      <c r="Y143" s="540"/>
      <c r="Z143" s="214"/>
      <c r="AA143" s="423"/>
      <c r="AB143" s="214"/>
      <c r="AC143" s="214"/>
    </row>
    <row r="144" spans="1:29" s="2" customFormat="1" ht="16.5" customHeight="1">
      <c r="A144" s="548"/>
      <c r="B144" s="548"/>
      <c r="C144" s="548"/>
      <c r="D144" s="548"/>
      <c r="E144" s="548"/>
      <c r="F144" s="548"/>
      <c r="G144" s="548"/>
      <c r="H144" s="239"/>
      <c r="I144" s="540"/>
      <c r="J144" s="214"/>
      <c r="K144" s="402"/>
      <c r="L144" s="239"/>
      <c r="M144" s="540"/>
      <c r="N144" s="214"/>
      <c r="O144" s="402"/>
      <c r="P144" s="239"/>
      <c r="Q144" s="540"/>
      <c r="R144" s="214"/>
      <c r="S144" s="402"/>
      <c r="T144" s="239"/>
      <c r="U144" s="540"/>
      <c r="V144" s="214"/>
      <c r="W144" s="402"/>
      <c r="X144" s="239"/>
      <c r="Y144" s="540"/>
      <c r="Z144" s="214"/>
      <c r="AA144" s="423"/>
      <c r="AB144" s="214"/>
      <c r="AC144" s="214"/>
    </row>
    <row r="145" spans="1:29" s="2" customFormat="1" ht="16.5" customHeight="1">
      <c r="A145" s="548"/>
      <c r="B145" s="548"/>
      <c r="C145" s="548"/>
      <c r="D145" s="548"/>
      <c r="E145" s="548"/>
      <c r="F145" s="548"/>
      <c r="G145" s="548"/>
      <c r="H145" s="239"/>
      <c r="I145" s="540"/>
      <c r="J145" s="214"/>
      <c r="K145" s="402"/>
      <c r="L145" s="239"/>
      <c r="M145" s="540"/>
      <c r="N145" s="214"/>
      <c r="O145" s="402"/>
      <c r="P145" s="239"/>
      <c r="Q145" s="540"/>
      <c r="R145" s="214"/>
      <c r="S145" s="402"/>
      <c r="T145" s="239"/>
      <c r="U145" s="540"/>
      <c r="V145" s="214"/>
      <c r="W145" s="402"/>
      <c r="X145" s="239"/>
      <c r="Y145" s="540"/>
      <c r="Z145" s="214"/>
      <c r="AA145" s="423"/>
      <c r="AB145" s="214"/>
      <c r="AC145" s="214"/>
    </row>
    <row r="146" spans="1:29" s="2" customFormat="1" ht="16.5" customHeight="1">
      <c r="A146" s="548"/>
      <c r="B146" s="548"/>
      <c r="C146" s="548"/>
      <c r="D146" s="548"/>
      <c r="E146" s="548"/>
      <c r="F146" s="548"/>
      <c r="G146" s="548"/>
      <c r="H146" s="239"/>
      <c r="I146" s="540"/>
      <c r="J146" s="214"/>
      <c r="K146" s="402"/>
      <c r="L146" s="239"/>
      <c r="M146" s="540"/>
      <c r="N146" s="214"/>
      <c r="O146" s="402"/>
      <c r="P146" s="239"/>
      <c r="Q146" s="540"/>
      <c r="R146" s="214"/>
      <c r="S146" s="402"/>
      <c r="T146" s="239"/>
      <c r="U146" s="540"/>
      <c r="V146" s="214"/>
      <c r="W146" s="402"/>
      <c r="X146" s="239"/>
      <c r="Y146" s="540"/>
      <c r="Z146" s="214"/>
      <c r="AA146" s="423"/>
      <c r="AB146" s="214"/>
      <c r="AC146" s="214"/>
    </row>
    <row r="147" spans="1:29" s="2" customFormat="1" ht="16.5" customHeight="1">
      <c r="A147" s="548"/>
      <c r="B147" s="548"/>
      <c r="C147" s="548"/>
      <c r="D147" s="548"/>
      <c r="E147" s="548"/>
      <c r="F147" s="548"/>
      <c r="G147" s="548"/>
      <c r="H147" s="239"/>
      <c r="I147" s="540"/>
      <c r="J147" s="214"/>
      <c r="K147" s="402"/>
      <c r="L147" s="239"/>
      <c r="M147" s="540"/>
      <c r="N147" s="214"/>
      <c r="O147" s="402"/>
      <c r="P147" s="239"/>
      <c r="Q147" s="540"/>
      <c r="R147" s="214"/>
      <c r="S147" s="402"/>
      <c r="T147" s="239"/>
      <c r="U147" s="540"/>
      <c r="V147" s="214"/>
      <c r="W147" s="402"/>
      <c r="X147" s="239"/>
      <c r="Y147" s="540"/>
      <c r="Z147" s="214"/>
      <c r="AA147" s="423"/>
      <c r="AB147" s="214"/>
      <c r="AC147" s="214"/>
    </row>
    <row r="148" spans="1:29" s="2" customFormat="1" ht="16.5" customHeight="1">
      <c r="A148" s="548"/>
      <c r="B148" s="548"/>
      <c r="C148" s="548"/>
      <c r="D148" s="548"/>
      <c r="E148" s="548"/>
      <c r="F148" s="548"/>
      <c r="G148" s="548"/>
      <c r="H148" s="239"/>
      <c r="I148" s="540"/>
      <c r="J148" s="214"/>
      <c r="K148" s="402"/>
      <c r="L148" s="239"/>
      <c r="M148" s="540"/>
      <c r="N148" s="214"/>
      <c r="O148" s="402"/>
      <c r="P148" s="239"/>
      <c r="Q148" s="540"/>
      <c r="R148" s="214"/>
      <c r="S148" s="402"/>
      <c r="T148" s="239"/>
      <c r="U148" s="540"/>
      <c r="V148" s="214"/>
      <c r="W148" s="402"/>
      <c r="X148" s="239"/>
      <c r="Y148" s="540"/>
      <c r="Z148" s="214"/>
      <c r="AA148" s="423"/>
      <c r="AB148" s="214"/>
      <c r="AC148" s="214"/>
    </row>
    <row r="149" spans="1:29" s="2" customFormat="1" ht="16.5" customHeight="1">
      <c r="A149" s="548"/>
      <c r="B149" s="548"/>
      <c r="C149" s="548"/>
      <c r="D149" s="548"/>
      <c r="E149" s="548"/>
      <c r="F149" s="548"/>
      <c r="G149" s="548"/>
      <c r="H149" s="239"/>
      <c r="I149" s="540"/>
      <c r="J149" s="214"/>
      <c r="K149" s="402"/>
      <c r="L149" s="239"/>
      <c r="M149" s="540"/>
      <c r="N149" s="214"/>
      <c r="O149" s="402"/>
      <c r="P149" s="239"/>
      <c r="Q149" s="540"/>
      <c r="R149" s="214"/>
      <c r="S149" s="402"/>
      <c r="T149" s="239"/>
      <c r="U149" s="540"/>
      <c r="V149" s="214"/>
      <c r="W149" s="402"/>
      <c r="X149" s="239"/>
      <c r="Y149" s="540"/>
      <c r="Z149" s="214"/>
      <c r="AA149" s="423"/>
      <c r="AB149" s="214"/>
      <c r="AC149" s="214"/>
    </row>
    <row r="150" spans="1:29" s="2" customFormat="1" ht="16.5" customHeight="1">
      <c r="A150" s="548"/>
      <c r="B150" s="548"/>
      <c r="C150" s="548"/>
      <c r="D150" s="548"/>
      <c r="E150" s="548"/>
      <c r="F150" s="548"/>
      <c r="G150" s="548"/>
      <c r="H150" s="239"/>
      <c r="I150" s="540"/>
      <c r="J150" s="214"/>
      <c r="K150" s="402"/>
      <c r="L150" s="239"/>
      <c r="M150" s="540"/>
      <c r="N150" s="214"/>
      <c r="O150" s="402"/>
      <c r="P150" s="239"/>
      <c r="Q150" s="540"/>
      <c r="R150" s="214"/>
      <c r="S150" s="402"/>
      <c r="T150" s="239"/>
      <c r="U150" s="540"/>
      <c r="V150" s="214"/>
      <c r="W150" s="402"/>
      <c r="X150" s="239"/>
      <c r="Y150" s="540"/>
      <c r="Z150" s="214"/>
      <c r="AA150" s="423"/>
      <c r="AB150" s="214"/>
      <c r="AC150" s="214"/>
    </row>
    <row r="151" spans="1:29" s="2" customFormat="1" ht="16.5" customHeight="1">
      <c r="A151" s="548"/>
      <c r="B151" s="548"/>
      <c r="C151" s="548"/>
      <c r="D151" s="548"/>
      <c r="E151" s="548"/>
      <c r="F151" s="548"/>
      <c r="G151" s="548"/>
      <c r="H151" s="239"/>
      <c r="I151" s="540"/>
      <c r="J151" s="214"/>
      <c r="K151" s="402"/>
      <c r="L151" s="239"/>
      <c r="M151" s="540"/>
      <c r="N151" s="214"/>
      <c r="O151" s="402"/>
      <c r="P151" s="239"/>
      <c r="Q151" s="540"/>
      <c r="R151" s="214"/>
      <c r="S151" s="402"/>
      <c r="T151" s="239"/>
      <c r="U151" s="540"/>
      <c r="V151" s="214"/>
      <c r="W151" s="402"/>
      <c r="X151" s="239"/>
      <c r="Y151" s="540"/>
      <c r="Z151" s="214"/>
      <c r="AA151" s="423"/>
      <c r="AB151" s="214"/>
      <c r="AC151" s="214"/>
    </row>
    <row r="152" spans="1:29" s="2" customFormat="1" ht="16.5" customHeight="1">
      <c r="A152" s="548"/>
      <c r="B152" s="548"/>
      <c r="C152" s="548"/>
      <c r="D152" s="548"/>
      <c r="E152" s="548"/>
      <c r="F152" s="548"/>
      <c r="G152" s="548"/>
      <c r="H152" s="239"/>
      <c r="I152" s="540"/>
      <c r="J152" s="214"/>
      <c r="K152" s="402"/>
      <c r="L152" s="239"/>
      <c r="M152" s="540"/>
      <c r="N152" s="214"/>
      <c r="O152" s="402"/>
      <c r="P152" s="239"/>
      <c r="Q152" s="540"/>
      <c r="R152" s="214"/>
      <c r="S152" s="402"/>
      <c r="T152" s="239"/>
      <c r="U152" s="540"/>
      <c r="V152" s="214"/>
      <c r="W152" s="402"/>
      <c r="X152" s="239"/>
      <c r="Y152" s="540"/>
      <c r="Z152" s="214"/>
      <c r="AA152" s="423"/>
      <c r="AB152" s="214"/>
      <c r="AC152" s="214"/>
    </row>
    <row r="153" spans="1:29" s="2" customFormat="1" ht="16.5" customHeight="1">
      <c r="A153" s="548"/>
      <c r="B153" s="548"/>
      <c r="C153" s="548"/>
      <c r="D153" s="548"/>
      <c r="E153" s="548"/>
      <c r="F153" s="548"/>
      <c r="G153" s="548"/>
      <c r="H153" s="239"/>
      <c r="I153" s="540"/>
      <c r="J153" s="214"/>
      <c r="K153" s="402"/>
      <c r="L153" s="239"/>
      <c r="M153" s="540"/>
      <c r="N153" s="214"/>
      <c r="O153" s="402"/>
      <c r="P153" s="239"/>
      <c r="Q153" s="540"/>
      <c r="R153" s="214"/>
      <c r="S153" s="402"/>
      <c r="T153" s="239"/>
      <c r="U153" s="540"/>
      <c r="V153" s="214"/>
      <c r="W153" s="402"/>
      <c r="X153" s="239"/>
      <c r="Y153" s="540"/>
      <c r="Z153" s="214"/>
      <c r="AA153" s="423"/>
      <c r="AB153" s="214"/>
      <c r="AC153" s="214"/>
    </row>
    <row r="154" spans="1:29" s="2" customFormat="1" ht="16.5" customHeight="1">
      <c r="A154" s="548"/>
      <c r="B154" s="548"/>
      <c r="C154" s="548"/>
      <c r="D154" s="548"/>
      <c r="E154" s="548"/>
      <c r="F154" s="548"/>
      <c r="G154" s="548"/>
      <c r="H154" s="239"/>
      <c r="I154" s="540"/>
      <c r="J154" s="214"/>
      <c r="K154" s="402"/>
      <c r="L154" s="239"/>
      <c r="M154" s="540"/>
      <c r="N154" s="214"/>
      <c r="O154" s="402"/>
      <c r="P154" s="239"/>
      <c r="Q154" s="540"/>
      <c r="R154" s="214"/>
      <c r="S154" s="402"/>
      <c r="T154" s="239"/>
      <c r="U154" s="540"/>
      <c r="V154" s="214"/>
      <c r="W154" s="402"/>
      <c r="X154" s="239"/>
      <c r="Y154" s="540"/>
      <c r="Z154" s="214"/>
      <c r="AA154" s="423"/>
      <c r="AB154" s="214"/>
      <c r="AC154" s="214"/>
    </row>
    <row r="155" spans="1:29" s="2" customFormat="1" ht="16.5" customHeight="1">
      <c r="A155" s="548"/>
      <c r="B155" s="548"/>
      <c r="C155" s="548"/>
      <c r="D155" s="548"/>
      <c r="E155" s="548"/>
      <c r="F155" s="548"/>
      <c r="G155" s="548"/>
      <c r="H155" s="239"/>
      <c r="I155" s="540"/>
      <c r="J155" s="214"/>
      <c r="K155" s="402"/>
      <c r="L155" s="239"/>
      <c r="M155" s="540"/>
      <c r="N155" s="214"/>
      <c r="O155" s="402"/>
      <c r="P155" s="239"/>
      <c r="Q155" s="540"/>
      <c r="R155" s="214"/>
      <c r="S155" s="402"/>
      <c r="T155" s="239"/>
      <c r="U155" s="540"/>
      <c r="V155" s="214"/>
      <c r="W155" s="402"/>
      <c r="X155" s="239"/>
      <c r="Y155" s="540"/>
      <c r="Z155" s="214"/>
      <c r="AA155" s="423"/>
      <c r="AB155" s="214"/>
      <c r="AC155" s="214"/>
    </row>
    <row r="156" spans="1:29" s="2" customFormat="1" ht="16.5" customHeight="1">
      <c r="A156" s="548"/>
      <c r="B156" s="548"/>
      <c r="C156" s="548"/>
      <c r="D156" s="548"/>
      <c r="E156" s="548"/>
      <c r="F156" s="548"/>
      <c r="G156" s="548"/>
      <c r="H156" s="239"/>
      <c r="I156" s="540"/>
      <c r="J156" s="214"/>
      <c r="K156" s="402"/>
      <c r="L156" s="239"/>
      <c r="M156" s="540"/>
      <c r="N156" s="214"/>
      <c r="O156" s="402"/>
      <c r="P156" s="239"/>
      <c r="Q156" s="540"/>
      <c r="R156" s="214"/>
      <c r="S156" s="402"/>
      <c r="T156" s="239"/>
      <c r="U156" s="540"/>
      <c r="V156" s="214"/>
      <c r="W156" s="402"/>
      <c r="X156" s="239"/>
      <c r="Y156" s="540"/>
      <c r="Z156" s="214"/>
      <c r="AA156" s="423"/>
      <c r="AB156" s="214"/>
      <c r="AC156" s="214"/>
    </row>
    <row r="157" spans="1:29" s="2" customFormat="1" ht="16.5" customHeight="1">
      <c r="A157" s="548"/>
      <c r="B157" s="548"/>
      <c r="C157" s="548"/>
      <c r="D157" s="548"/>
      <c r="E157" s="548"/>
      <c r="F157" s="548"/>
      <c r="G157" s="548"/>
      <c r="H157" s="239"/>
      <c r="I157" s="540"/>
      <c r="J157" s="214"/>
      <c r="K157" s="402"/>
      <c r="L157" s="239"/>
      <c r="M157" s="540"/>
      <c r="N157" s="214"/>
      <c r="O157" s="402"/>
      <c r="P157" s="239"/>
      <c r="Q157" s="540"/>
      <c r="R157" s="214"/>
      <c r="S157" s="402"/>
      <c r="T157" s="239"/>
      <c r="U157" s="540"/>
      <c r="V157" s="214"/>
      <c r="W157" s="402"/>
      <c r="X157" s="239"/>
      <c r="Y157" s="540"/>
      <c r="Z157" s="214"/>
      <c r="AA157" s="423"/>
      <c r="AB157" s="214"/>
      <c r="AC157" s="214"/>
    </row>
    <row r="158" spans="1:29" s="2" customFormat="1" ht="16.5" customHeight="1">
      <c r="A158" s="548"/>
      <c r="B158" s="548"/>
      <c r="C158" s="548"/>
      <c r="D158" s="548"/>
      <c r="E158" s="548"/>
      <c r="F158" s="548"/>
      <c r="G158" s="548"/>
      <c r="H158" s="239"/>
      <c r="I158" s="540"/>
      <c r="J158" s="214"/>
      <c r="K158" s="402"/>
      <c r="L158" s="239"/>
      <c r="M158" s="540"/>
      <c r="N158" s="214"/>
      <c r="O158" s="402"/>
      <c r="P158" s="239"/>
      <c r="Q158" s="540"/>
      <c r="R158" s="214"/>
      <c r="S158" s="402"/>
      <c r="T158" s="239"/>
      <c r="U158" s="540"/>
      <c r="V158" s="214"/>
      <c r="W158" s="402"/>
      <c r="X158" s="239"/>
      <c r="Y158" s="540"/>
      <c r="Z158" s="214"/>
      <c r="AA158" s="423"/>
      <c r="AB158" s="214"/>
      <c r="AC158" s="214"/>
    </row>
    <row r="159" spans="1:29" s="2" customFormat="1" ht="16.5" customHeight="1">
      <c r="A159" s="548"/>
      <c r="B159" s="548"/>
      <c r="C159" s="548"/>
      <c r="D159" s="548"/>
      <c r="E159" s="548"/>
      <c r="F159" s="548"/>
      <c r="G159" s="548"/>
      <c r="H159" s="239"/>
      <c r="I159" s="540"/>
      <c r="J159" s="214"/>
      <c r="K159" s="402"/>
      <c r="L159" s="239"/>
      <c r="M159" s="540"/>
      <c r="N159" s="214"/>
      <c r="O159" s="402"/>
      <c r="P159" s="239"/>
      <c r="Q159" s="540"/>
      <c r="R159" s="214"/>
      <c r="S159" s="402"/>
      <c r="T159" s="239"/>
      <c r="U159" s="540"/>
      <c r="V159" s="214"/>
      <c r="W159" s="402"/>
      <c r="X159" s="239"/>
      <c r="Y159" s="540"/>
      <c r="Z159" s="214"/>
      <c r="AA159" s="423"/>
      <c r="AB159" s="214"/>
      <c r="AC159" s="214"/>
    </row>
    <row r="160" spans="1:29" s="2" customFormat="1" ht="16.5" customHeight="1">
      <c r="A160" s="548"/>
      <c r="B160" s="548"/>
      <c r="C160" s="548"/>
      <c r="D160" s="548"/>
      <c r="E160" s="548"/>
      <c r="F160" s="548"/>
      <c r="G160" s="548"/>
      <c r="H160" s="239"/>
      <c r="I160" s="540"/>
      <c r="J160" s="214"/>
      <c r="K160" s="402"/>
      <c r="L160" s="239"/>
      <c r="M160" s="540"/>
      <c r="N160" s="214"/>
      <c r="O160" s="402"/>
      <c r="P160" s="239"/>
      <c r="Q160" s="540"/>
      <c r="R160" s="214"/>
      <c r="S160" s="402"/>
      <c r="T160" s="239"/>
      <c r="U160" s="540"/>
      <c r="V160" s="214"/>
      <c r="W160" s="402"/>
      <c r="X160" s="239"/>
      <c r="Y160" s="540"/>
      <c r="Z160" s="214"/>
      <c r="AA160" s="423"/>
      <c r="AB160" s="214"/>
      <c r="AC160" s="214"/>
    </row>
    <row r="161" spans="1:29" s="2" customFormat="1" ht="16.5" customHeight="1">
      <c r="A161" s="548"/>
      <c r="B161" s="548"/>
      <c r="C161" s="548"/>
      <c r="D161" s="548"/>
      <c r="E161" s="548"/>
      <c r="F161" s="548"/>
      <c r="G161" s="548"/>
      <c r="H161" s="239"/>
      <c r="I161" s="540"/>
      <c r="J161" s="214"/>
      <c r="K161" s="402"/>
      <c r="L161" s="239"/>
      <c r="M161" s="540"/>
      <c r="N161" s="214"/>
      <c r="O161" s="402"/>
      <c r="P161" s="239"/>
      <c r="Q161" s="540"/>
      <c r="R161" s="214"/>
      <c r="S161" s="402"/>
      <c r="T161" s="239"/>
      <c r="U161" s="540"/>
      <c r="V161" s="214"/>
      <c r="W161" s="402"/>
      <c r="X161" s="239"/>
      <c r="Y161" s="540"/>
      <c r="Z161" s="214"/>
      <c r="AA161" s="423"/>
      <c r="AB161" s="214"/>
      <c r="AC161" s="214"/>
    </row>
    <row r="162" spans="1:29" ht="16.5" customHeight="1">
      <c r="O162" s="393"/>
      <c r="S162" s="393"/>
      <c r="W162" s="393"/>
    </row>
    <row r="163" spans="1:29" ht="16.5" customHeight="1">
      <c r="O163" s="393"/>
      <c r="S163" s="393"/>
      <c r="W163" s="393"/>
    </row>
    <row r="164" spans="1:29" ht="16.5" customHeight="1">
      <c r="O164" s="393"/>
      <c r="S164" s="393"/>
      <c r="W164" s="393"/>
    </row>
    <row r="165" spans="1:29" ht="16.5" customHeight="1">
      <c r="O165" s="393"/>
      <c r="S165" s="393"/>
      <c r="W165" s="393"/>
    </row>
    <row r="166" spans="1:29" ht="16.5" customHeight="1">
      <c r="O166" s="393"/>
      <c r="S166" s="393"/>
      <c r="W166" s="393"/>
    </row>
    <row r="167" spans="1:29" ht="16.5" customHeight="1">
      <c r="O167" s="393"/>
      <c r="S167" s="393"/>
      <c r="W167" s="393"/>
    </row>
    <row r="168" spans="1:29" ht="16.5" customHeight="1">
      <c r="O168" s="393"/>
      <c r="S168" s="393"/>
      <c r="W168" s="393"/>
    </row>
    <row r="169" spans="1:29" ht="16.5" customHeight="1">
      <c r="O169" s="393"/>
      <c r="S169" s="393"/>
      <c r="W169" s="393"/>
    </row>
    <row r="170" spans="1:29" ht="16.5" customHeight="1">
      <c r="O170" s="393"/>
      <c r="S170" s="393"/>
      <c r="W170" s="393"/>
    </row>
    <row r="171" spans="1:29" ht="16.5" customHeight="1">
      <c r="O171" s="393"/>
      <c r="S171" s="393"/>
      <c r="W171" s="393"/>
    </row>
    <row r="172" spans="1:29" ht="16.5" customHeight="1">
      <c r="O172" s="393"/>
      <c r="S172" s="393"/>
      <c r="W172" s="393"/>
    </row>
    <row r="173" spans="1:29" ht="16.5" customHeight="1">
      <c r="O173" s="393"/>
      <c r="S173" s="393"/>
      <c r="W173" s="393"/>
    </row>
    <row r="174" spans="1:29" ht="16.5" customHeight="1">
      <c r="O174" s="393"/>
      <c r="S174" s="393"/>
      <c r="W174" s="393"/>
    </row>
    <row r="175" spans="1:29" ht="16.5" customHeight="1">
      <c r="O175" s="393"/>
      <c r="S175" s="393"/>
      <c r="W175" s="393"/>
    </row>
    <row r="176" spans="1:29" ht="16.5" customHeight="1">
      <c r="O176" s="393"/>
      <c r="S176" s="393"/>
      <c r="W176" s="393"/>
    </row>
    <row r="177" spans="15:23" ht="16.5" customHeight="1">
      <c r="O177" s="393"/>
      <c r="S177" s="393"/>
      <c r="W177" s="393"/>
    </row>
    <row r="178" spans="15:23" ht="16.5" customHeight="1">
      <c r="O178" s="393"/>
      <c r="S178" s="393"/>
      <c r="W178" s="393"/>
    </row>
    <row r="179" spans="15:23" ht="16.5" customHeight="1">
      <c r="O179" s="393"/>
      <c r="S179" s="393"/>
      <c r="W179" s="393"/>
    </row>
    <row r="180" spans="15:23" ht="16.5" customHeight="1">
      <c r="O180" s="393"/>
      <c r="S180" s="393"/>
      <c r="W180" s="393"/>
    </row>
    <row r="181" spans="15:23" ht="16.5" customHeight="1">
      <c r="O181" s="393"/>
      <c r="S181" s="393"/>
      <c r="W181" s="393"/>
    </row>
    <row r="182" spans="15:23" ht="16.5" customHeight="1">
      <c r="O182" s="393"/>
      <c r="S182" s="393"/>
      <c r="W182" s="393"/>
    </row>
    <row r="183" spans="15:23" ht="16.5" customHeight="1">
      <c r="O183" s="393"/>
      <c r="S183" s="393"/>
      <c r="W183" s="393"/>
    </row>
    <row r="184" spans="15:23" ht="16.5" customHeight="1">
      <c r="O184" s="393"/>
      <c r="S184" s="393"/>
      <c r="W184" s="393"/>
    </row>
    <row r="185" spans="15:23" ht="16.5" customHeight="1">
      <c r="O185" s="393"/>
      <c r="S185" s="393"/>
      <c r="W185" s="393"/>
    </row>
    <row r="186" spans="15:23" ht="16.5" customHeight="1">
      <c r="O186" s="393"/>
      <c r="S186" s="393"/>
      <c r="W186" s="393"/>
    </row>
    <row r="187" spans="15:23" ht="16.5" customHeight="1">
      <c r="O187" s="393"/>
      <c r="S187" s="393"/>
      <c r="W187" s="393"/>
    </row>
    <row r="188" spans="15:23" ht="16.5" customHeight="1">
      <c r="O188" s="393"/>
      <c r="S188" s="393"/>
      <c r="W188" s="393"/>
    </row>
    <row r="189" spans="15:23" ht="16.5" customHeight="1">
      <c r="O189" s="393"/>
      <c r="S189" s="393"/>
      <c r="W189" s="393"/>
    </row>
    <row r="190" spans="15:23" ht="16.5" customHeight="1">
      <c r="O190" s="393"/>
      <c r="S190" s="393"/>
      <c r="W190" s="393"/>
    </row>
    <row r="191" spans="15:23" ht="16.5" customHeight="1">
      <c r="O191" s="393"/>
      <c r="S191" s="393"/>
      <c r="W191" s="393"/>
    </row>
    <row r="192" spans="15:23" ht="16.5" customHeight="1">
      <c r="O192" s="393"/>
      <c r="S192" s="393"/>
      <c r="W192" s="393"/>
    </row>
    <row r="193" spans="15:23" ht="16.5" customHeight="1">
      <c r="O193" s="393"/>
      <c r="S193" s="393"/>
      <c r="W193" s="393"/>
    </row>
    <row r="194" spans="15:23" ht="16.5" customHeight="1">
      <c r="O194" s="393"/>
      <c r="S194" s="393"/>
      <c r="W194" s="393"/>
    </row>
    <row r="195" spans="15:23" ht="16.5" customHeight="1">
      <c r="O195" s="393"/>
      <c r="S195" s="393"/>
      <c r="W195" s="393"/>
    </row>
    <row r="196" spans="15:23" ht="16.5" customHeight="1">
      <c r="O196" s="393"/>
      <c r="S196" s="393"/>
      <c r="W196" s="393"/>
    </row>
    <row r="197" spans="15:23" ht="16.5" customHeight="1">
      <c r="O197" s="393"/>
      <c r="S197" s="393"/>
      <c r="W197" s="393"/>
    </row>
    <row r="198" spans="15:23" ht="16.5" customHeight="1">
      <c r="O198" s="393"/>
      <c r="S198" s="393"/>
      <c r="W198" s="393"/>
    </row>
    <row r="199" spans="15:23" ht="16.5" customHeight="1">
      <c r="O199" s="393"/>
      <c r="S199" s="393"/>
      <c r="W199" s="393"/>
    </row>
    <row r="200" spans="15:23" ht="16.5" customHeight="1">
      <c r="O200" s="393"/>
      <c r="S200" s="393"/>
      <c r="W200" s="393"/>
    </row>
    <row r="201" spans="15:23" ht="16.5" customHeight="1">
      <c r="O201" s="393"/>
      <c r="S201" s="393"/>
      <c r="W201" s="393"/>
    </row>
    <row r="202" spans="15:23" ht="16.5" customHeight="1">
      <c r="O202" s="393"/>
      <c r="S202" s="393"/>
      <c r="W202" s="393"/>
    </row>
    <row r="203" spans="15:23" ht="16.5" customHeight="1">
      <c r="O203" s="393"/>
      <c r="S203" s="393"/>
      <c r="W203" s="393"/>
    </row>
    <row r="204" spans="15:23" ht="16.5" customHeight="1">
      <c r="O204" s="393"/>
      <c r="S204" s="393"/>
      <c r="W204" s="393"/>
    </row>
    <row r="205" spans="15:23" ht="16.5" customHeight="1">
      <c r="O205" s="393"/>
      <c r="S205" s="393"/>
      <c r="W205" s="393"/>
    </row>
    <row r="206" spans="15:23" ht="16.5" customHeight="1">
      <c r="O206" s="393"/>
      <c r="S206" s="393"/>
      <c r="W206" s="393"/>
    </row>
    <row r="207" spans="15:23" ht="16.5" customHeight="1">
      <c r="O207" s="393"/>
      <c r="S207" s="393"/>
      <c r="W207" s="393"/>
    </row>
    <row r="208" spans="15:23" ht="16.5" customHeight="1">
      <c r="O208" s="393"/>
      <c r="S208" s="393"/>
      <c r="W208" s="393"/>
    </row>
    <row r="209" spans="15:23" ht="16.5" customHeight="1">
      <c r="O209" s="393"/>
      <c r="S209" s="393"/>
      <c r="W209" s="393"/>
    </row>
    <row r="210" spans="15:23" ht="16.5" customHeight="1">
      <c r="O210" s="393"/>
      <c r="S210" s="393"/>
      <c r="W210" s="393"/>
    </row>
    <row r="211" spans="15:23" ht="16.5" customHeight="1">
      <c r="O211" s="393"/>
      <c r="S211" s="393"/>
      <c r="W211" s="393"/>
    </row>
    <row r="212" spans="15:23" ht="16.5" customHeight="1">
      <c r="O212" s="393"/>
      <c r="S212" s="393"/>
      <c r="W212" s="393"/>
    </row>
    <row r="213" spans="15:23" ht="16.5" customHeight="1">
      <c r="O213" s="393"/>
      <c r="S213" s="393"/>
      <c r="W213" s="393"/>
    </row>
    <row r="214" spans="15:23" ht="16.5" customHeight="1">
      <c r="O214" s="393"/>
      <c r="S214" s="393"/>
      <c r="W214" s="393"/>
    </row>
    <row r="215" spans="15:23" ht="16.5" customHeight="1">
      <c r="O215" s="393"/>
      <c r="S215" s="393"/>
      <c r="W215" s="393"/>
    </row>
    <row r="216" spans="15:23" ht="16.5" customHeight="1">
      <c r="O216" s="393"/>
      <c r="S216" s="393"/>
      <c r="W216" s="393"/>
    </row>
    <row r="217" spans="15:23" ht="16.5" customHeight="1">
      <c r="O217" s="393"/>
      <c r="S217" s="393"/>
      <c r="W217" s="393"/>
    </row>
    <row r="218" spans="15:23" ht="16.5" customHeight="1">
      <c r="O218" s="393"/>
      <c r="S218" s="393"/>
      <c r="W218" s="393"/>
    </row>
    <row r="219" spans="15:23" ht="16.5" customHeight="1">
      <c r="O219" s="393"/>
      <c r="S219" s="393"/>
      <c r="W219" s="393"/>
    </row>
    <row r="220" spans="15:23" ht="16.5" customHeight="1">
      <c r="O220" s="393"/>
      <c r="S220" s="393"/>
      <c r="W220" s="393"/>
    </row>
    <row r="221" spans="15:23" ht="16.5" customHeight="1">
      <c r="O221" s="393"/>
      <c r="S221" s="393"/>
      <c r="W221" s="393"/>
    </row>
    <row r="222" spans="15:23" ht="16.5" customHeight="1">
      <c r="O222" s="393"/>
      <c r="S222" s="393"/>
      <c r="W222" s="393"/>
    </row>
    <row r="223" spans="15:23" ht="16.5" customHeight="1">
      <c r="O223" s="393"/>
      <c r="S223" s="393"/>
      <c r="W223" s="393"/>
    </row>
    <row r="224" spans="15:23" ht="16.5" customHeight="1">
      <c r="O224" s="393"/>
      <c r="S224" s="393"/>
      <c r="W224" s="393"/>
    </row>
    <row r="225" spans="15:23" ht="16.5" customHeight="1">
      <c r="O225" s="393"/>
      <c r="S225" s="393"/>
      <c r="W225" s="393"/>
    </row>
    <row r="226" spans="15:23" ht="16.5" customHeight="1">
      <c r="O226" s="393"/>
      <c r="S226" s="393"/>
      <c r="W226" s="393"/>
    </row>
    <row r="227" spans="15:23" ht="16.5" customHeight="1">
      <c r="O227" s="393"/>
      <c r="S227" s="393"/>
      <c r="W227" s="393"/>
    </row>
    <row r="228" spans="15:23" ht="16.5" customHeight="1">
      <c r="O228" s="393"/>
      <c r="S228" s="393"/>
      <c r="W228" s="393"/>
    </row>
    <row r="229" spans="15:23" ht="16.5" customHeight="1">
      <c r="O229" s="393"/>
      <c r="S229" s="393"/>
      <c r="W229" s="393"/>
    </row>
    <row r="230" spans="15:23" ht="16.5" customHeight="1">
      <c r="O230" s="393"/>
      <c r="S230" s="393"/>
      <c r="W230" s="393"/>
    </row>
    <row r="231" spans="15:23" ht="16.5" customHeight="1">
      <c r="O231" s="393"/>
      <c r="S231" s="393"/>
      <c r="W231" s="393"/>
    </row>
    <row r="232" spans="15:23" ht="16.5" customHeight="1">
      <c r="O232" s="393"/>
      <c r="S232" s="393"/>
      <c r="W232" s="393"/>
    </row>
    <row r="233" spans="15:23" ht="16.5" customHeight="1">
      <c r="O233" s="393"/>
      <c r="S233" s="393"/>
      <c r="W233" s="393"/>
    </row>
    <row r="234" spans="15:23" ht="16.5" customHeight="1">
      <c r="O234" s="393"/>
      <c r="S234" s="393"/>
      <c r="W234" s="393"/>
    </row>
    <row r="235" spans="15:23" ht="16.5" customHeight="1">
      <c r="O235" s="393"/>
      <c r="S235" s="393"/>
      <c r="W235" s="393"/>
    </row>
    <row r="236" spans="15:23" ht="16.5" customHeight="1">
      <c r="O236" s="393"/>
      <c r="S236" s="393"/>
      <c r="W236" s="393"/>
    </row>
    <row r="237" spans="15:23" ht="16.5" customHeight="1">
      <c r="O237" s="393"/>
      <c r="S237" s="393"/>
      <c r="W237" s="393"/>
    </row>
    <row r="238" spans="15:23" ht="16.5" customHeight="1">
      <c r="O238" s="393"/>
      <c r="S238" s="393"/>
      <c r="W238" s="393"/>
    </row>
    <row r="239" spans="15:23" ht="16.5" customHeight="1">
      <c r="O239" s="393"/>
      <c r="S239" s="393"/>
      <c r="W239" s="393"/>
    </row>
    <row r="240" spans="15:23" ht="16.5" customHeight="1">
      <c r="O240" s="393"/>
      <c r="S240" s="393"/>
      <c r="W240" s="393"/>
    </row>
    <row r="241" spans="15:23" ht="16.5" customHeight="1">
      <c r="O241" s="393"/>
      <c r="S241" s="393"/>
      <c r="W241" s="393"/>
    </row>
    <row r="242" spans="15:23" ht="16.5" customHeight="1">
      <c r="O242" s="393"/>
      <c r="S242" s="393"/>
      <c r="W242" s="393"/>
    </row>
    <row r="243" spans="15:23" ht="16.5" customHeight="1">
      <c r="O243" s="393"/>
      <c r="S243" s="393"/>
      <c r="W243" s="393"/>
    </row>
    <row r="244" spans="15:23" ht="16.5" customHeight="1">
      <c r="O244" s="393"/>
      <c r="S244" s="393"/>
      <c r="W244" s="393"/>
    </row>
    <row r="245" spans="15:23" ht="16.5" customHeight="1">
      <c r="O245" s="393"/>
      <c r="S245" s="393"/>
      <c r="W245" s="393"/>
    </row>
    <row r="246" spans="15:23" ht="16.5" customHeight="1">
      <c r="O246" s="393"/>
      <c r="S246" s="393"/>
      <c r="W246" s="393"/>
    </row>
    <row r="247" spans="15:23" ht="16.5" customHeight="1">
      <c r="O247" s="393"/>
      <c r="S247" s="393"/>
      <c r="W247" s="393"/>
    </row>
    <row r="248" spans="15:23" ht="16.5" customHeight="1">
      <c r="O248" s="393"/>
      <c r="S248" s="393"/>
      <c r="W248" s="393"/>
    </row>
    <row r="249" spans="15:23" ht="16.5" customHeight="1">
      <c r="O249" s="393"/>
      <c r="S249" s="393"/>
      <c r="W249" s="393"/>
    </row>
    <row r="250" spans="15:23" ht="16.5" customHeight="1">
      <c r="O250" s="393"/>
      <c r="S250" s="393"/>
      <c r="W250" s="393"/>
    </row>
    <row r="251" spans="15:23" ht="16.5" customHeight="1">
      <c r="O251" s="393"/>
      <c r="S251" s="393"/>
      <c r="W251" s="393"/>
    </row>
    <row r="252" spans="15:23" ht="16.5" customHeight="1">
      <c r="O252" s="393"/>
      <c r="S252" s="393"/>
      <c r="W252" s="393"/>
    </row>
    <row r="253" spans="15:23" ht="16.5" customHeight="1">
      <c r="O253" s="393"/>
      <c r="S253" s="393"/>
      <c r="W253" s="393"/>
    </row>
    <row r="254" spans="15:23" ht="16.5" customHeight="1">
      <c r="O254" s="393"/>
      <c r="S254" s="393"/>
      <c r="W254" s="393"/>
    </row>
    <row r="255" spans="15:23" ht="16.5" customHeight="1">
      <c r="O255" s="393"/>
      <c r="S255" s="393"/>
      <c r="W255" s="393"/>
    </row>
    <row r="256" spans="15:23" ht="16.5" customHeight="1">
      <c r="O256" s="393"/>
      <c r="S256" s="393"/>
      <c r="W256" s="393"/>
    </row>
    <row r="257" spans="15:23" ht="16.5" customHeight="1">
      <c r="O257" s="393"/>
      <c r="S257" s="393"/>
      <c r="W257" s="393"/>
    </row>
    <row r="258" spans="15:23" ht="16.5" customHeight="1">
      <c r="O258" s="393"/>
      <c r="S258" s="393"/>
      <c r="W258" s="393"/>
    </row>
    <row r="259" spans="15:23" ht="16.5" customHeight="1">
      <c r="O259" s="393"/>
      <c r="S259" s="393"/>
      <c r="W259" s="393"/>
    </row>
    <row r="260" spans="15:23" ht="16.5" customHeight="1">
      <c r="O260" s="393"/>
      <c r="S260" s="393"/>
      <c r="W260" s="393"/>
    </row>
    <row r="261" spans="15:23" ht="16.5" customHeight="1">
      <c r="O261" s="393"/>
      <c r="S261" s="393"/>
      <c r="W261" s="393"/>
    </row>
    <row r="262" spans="15:23" ht="16.5" customHeight="1">
      <c r="O262" s="393"/>
      <c r="S262" s="393"/>
      <c r="W262" s="393"/>
    </row>
    <row r="263" spans="15:23" ht="16.5" customHeight="1">
      <c r="O263" s="393"/>
      <c r="S263" s="393"/>
      <c r="W263" s="393"/>
    </row>
    <row r="264" spans="15:23" ht="16.5" customHeight="1">
      <c r="O264" s="393"/>
      <c r="S264" s="393"/>
      <c r="W264" s="393"/>
    </row>
    <row r="265" spans="15:23" ht="16.5" customHeight="1">
      <c r="O265" s="393"/>
      <c r="S265" s="393"/>
      <c r="W265" s="393"/>
    </row>
    <row r="266" spans="15:23" ht="16.5" customHeight="1">
      <c r="O266" s="393"/>
      <c r="S266" s="393"/>
      <c r="W266" s="393"/>
    </row>
    <row r="267" spans="15:23" ht="16.5" customHeight="1">
      <c r="O267" s="393"/>
      <c r="S267" s="393"/>
      <c r="W267" s="393"/>
    </row>
    <row r="268" spans="15:23" ht="16.5" customHeight="1">
      <c r="O268" s="393"/>
      <c r="S268" s="393"/>
      <c r="W268" s="393"/>
    </row>
    <row r="269" spans="15:23" ht="16.5" customHeight="1">
      <c r="O269" s="393"/>
      <c r="S269" s="393"/>
      <c r="W269" s="393"/>
    </row>
    <row r="270" spans="15:23" ht="16.5" customHeight="1">
      <c r="O270" s="393"/>
      <c r="S270" s="393"/>
      <c r="W270" s="393"/>
    </row>
    <row r="271" spans="15:23" ht="16.5" customHeight="1">
      <c r="O271" s="393"/>
      <c r="S271" s="393"/>
      <c r="W271" s="393"/>
    </row>
    <row r="272" spans="15:23" ht="16.5" customHeight="1">
      <c r="O272" s="393"/>
      <c r="S272" s="393"/>
      <c r="W272" s="393"/>
    </row>
    <row r="273" spans="15:23" ht="16.5" customHeight="1">
      <c r="O273" s="393"/>
      <c r="S273" s="393"/>
      <c r="W273" s="393"/>
    </row>
    <row r="274" spans="15:23" ht="16.5" customHeight="1">
      <c r="O274" s="393"/>
      <c r="S274" s="393"/>
      <c r="W274" s="393"/>
    </row>
    <row r="275" spans="15:23" ht="16.5" customHeight="1">
      <c r="O275" s="393"/>
      <c r="S275" s="393"/>
      <c r="W275" s="393"/>
    </row>
    <row r="276" spans="15:23" ht="16.5" customHeight="1">
      <c r="O276" s="393"/>
      <c r="S276" s="393"/>
      <c r="W276" s="393"/>
    </row>
    <row r="277" spans="15:23" ht="16.5" customHeight="1">
      <c r="O277" s="393"/>
      <c r="S277" s="393"/>
      <c r="W277" s="393"/>
    </row>
    <row r="278" spans="15:23" ht="16.5" customHeight="1">
      <c r="O278" s="393"/>
      <c r="S278" s="393"/>
      <c r="W278" s="393"/>
    </row>
    <row r="279" spans="15:23" ht="16.5" customHeight="1">
      <c r="O279" s="393"/>
      <c r="S279" s="393"/>
      <c r="W279" s="393"/>
    </row>
    <row r="280" spans="15:23" ht="16.5" customHeight="1">
      <c r="O280" s="393"/>
      <c r="S280" s="393"/>
      <c r="W280" s="393"/>
    </row>
    <row r="281" spans="15:23" ht="16.5" customHeight="1">
      <c r="O281" s="393"/>
      <c r="S281" s="393"/>
      <c r="W281" s="393"/>
    </row>
    <row r="282" spans="15:23" ht="16.5" customHeight="1">
      <c r="O282" s="393"/>
      <c r="S282" s="393"/>
      <c r="W282" s="393"/>
    </row>
    <row r="283" spans="15:23" ht="16.5" customHeight="1">
      <c r="O283" s="393"/>
      <c r="S283" s="393"/>
      <c r="W283" s="393"/>
    </row>
    <row r="284" spans="15:23" ht="16.5" customHeight="1">
      <c r="O284" s="393"/>
      <c r="S284" s="393"/>
      <c r="W284" s="393"/>
    </row>
    <row r="285" spans="15:23" ht="16.5" customHeight="1">
      <c r="O285" s="393"/>
      <c r="S285" s="393"/>
      <c r="W285" s="393"/>
    </row>
    <row r="286" spans="15:23" ht="16.5" customHeight="1">
      <c r="O286" s="393"/>
      <c r="S286" s="393"/>
      <c r="W286" s="393"/>
    </row>
    <row r="287" spans="15:23" ht="16.5" customHeight="1">
      <c r="O287" s="393"/>
      <c r="S287" s="393"/>
      <c r="W287" s="393"/>
    </row>
    <row r="288" spans="15:23" ht="16.5" customHeight="1">
      <c r="O288" s="393"/>
      <c r="S288" s="393"/>
      <c r="W288" s="393"/>
    </row>
    <row r="289" spans="15:23" ht="16.5" customHeight="1">
      <c r="O289" s="393"/>
      <c r="S289" s="393"/>
      <c r="W289" s="393"/>
    </row>
    <row r="290" spans="15:23" ht="16.5" customHeight="1">
      <c r="O290" s="393"/>
      <c r="S290" s="393"/>
      <c r="W290" s="393"/>
    </row>
    <row r="291" spans="15:23" ht="16.5" customHeight="1">
      <c r="O291" s="393"/>
      <c r="S291" s="393"/>
      <c r="W291" s="393"/>
    </row>
    <row r="292" spans="15:23" ht="16.5" customHeight="1">
      <c r="O292" s="393"/>
      <c r="S292" s="393"/>
      <c r="W292" s="393"/>
    </row>
    <row r="293" spans="15:23" ht="14.25" customHeight="1">
      <c r="O293" s="393"/>
      <c r="S293" s="393"/>
      <c r="W293" s="393"/>
    </row>
    <row r="294" spans="15:23" ht="14.25" customHeight="1">
      <c r="O294" s="393"/>
      <c r="S294" s="393"/>
      <c r="W294" s="393"/>
    </row>
    <row r="295" spans="15:23" ht="14.25" customHeight="1">
      <c r="O295" s="393"/>
      <c r="S295" s="393"/>
      <c r="W295" s="393"/>
    </row>
    <row r="296" spans="15:23" ht="14.25" customHeight="1">
      <c r="O296" s="393"/>
      <c r="S296" s="393"/>
      <c r="W296" s="393"/>
    </row>
    <row r="297" spans="15:23" ht="14.25" customHeight="1">
      <c r="O297" s="393"/>
      <c r="S297" s="393"/>
      <c r="W297" s="393"/>
    </row>
    <row r="298" spans="15:23" ht="14.25" customHeight="1">
      <c r="O298" s="393"/>
      <c r="S298" s="393"/>
      <c r="W298" s="393"/>
    </row>
    <row r="299" spans="15:23" ht="14.25" customHeight="1">
      <c r="O299" s="393"/>
      <c r="S299" s="393"/>
      <c r="W299" s="393"/>
    </row>
    <row r="300" spans="15:23" ht="14.25" customHeight="1">
      <c r="O300" s="393"/>
      <c r="S300" s="393"/>
      <c r="W300" s="393"/>
    </row>
    <row r="301" spans="15:23" ht="14.25" customHeight="1">
      <c r="O301" s="393"/>
      <c r="S301" s="393"/>
      <c r="W301" s="393"/>
    </row>
    <row r="302" spans="15:23" ht="14.25" customHeight="1">
      <c r="O302" s="393"/>
      <c r="S302" s="393"/>
      <c r="W302" s="393"/>
    </row>
    <row r="303" spans="15:23" ht="14.25" customHeight="1">
      <c r="O303" s="393"/>
      <c r="S303" s="393"/>
      <c r="W303" s="393"/>
    </row>
    <row r="304" spans="15:23" ht="14.25" customHeight="1">
      <c r="O304" s="393"/>
      <c r="S304" s="393"/>
      <c r="W304" s="393"/>
    </row>
    <row r="305" spans="15:23" ht="14.25" customHeight="1">
      <c r="O305" s="393"/>
      <c r="S305" s="393"/>
      <c r="W305" s="393"/>
    </row>
    <row r="306" spans="15:23" ht="14.25" customHeight="1">
      <c r="O306" s="393"/>
      <c r="S306" s="393"/>
      <c r="W306" s="393"/>
    </row>
    <row r="307" spans="15:23" ht="14.25" customHeight="1">
      <c r="O307" s="393"/>
      <c r="S307" s="393"/>
      <c r="W307" s="393"/>
    </row>
    <row r="308" spans="15:23" ht="14.25" customHeight="1">
      <c r="O308" s="393"/>
      <c r="S308" s="393"/>
      <c r="W308" s="393"/>
    </row>
    <row r="309" spans="15:23" ht="14.25" customHeight="1">
      <c r="O309" s="393"/>
      <c r="S309" s="393"/>
      <c r="W309" s="393"/>
    </row>
    <row r="310" spans="15:23" ht="14.25" customHeight="1">
      <c r="O310" s="393"/>
      <c r="S310" s="393"/>
      <c r="W310" s="393"/>
    </row>
    <row r="311" spans="15:23" ht="14.25" customHeight="1">
      <c r="O311" s="393"/>
      <c r="S311" s="393"/>
      <c r="W311" s="393"/>
    </row>
    <row r="312" spans="15:23" ht="14.25" customHeight="1">
      <c r="O312" s="393"/>
      <c r="S312" s="393"/>
      <c r="W312" s="393"/>
    </row>
    <row r="313" spans="15:23" ht="14.25" customHeight="1">
      <c r="O313" s="393"/>
      <c r="S313" s="393"/>
      <c r="W313" s="393"/>
    </row>
    <row r="314" spans="15:23" ht="14.25" customHeight="1">
      <c r="O314" s="393"/>
      <c r="S314" s="393"/>
      <c r="W314" s="393"/>
    </row>
    <row r="315" spans="15:23" ht="14.25" customHeight="1">
      <c r="O315" s="393"/>
      <c r="S315" s="393"/>
      <c r="W315" s="393"/>
    </row>
    <row r="316" spans="15:23" ht="14.25" customHeight="1">
      <c r="O316" s="393"/>
      <c r="S316" s="393"/>
      <c r="W316" s="393"/>
    </row>
    <row r="317" spans="15:23" ht="14.25" customHeight="1">
      <c r="O317" s="393"/>
      <c r="S317" s="393"/>
      <c r="W317" s="393"/>
    </row>
    <row r="318" spans="15:23" ht="14.25" customHeight="1">
      <c r="O318" s="393"/>
      <c r="S318" s="393"/>
      <c r="W318" s="393"/>
    </row>
    <row r="319" spans="15:23" ht="14.25" customHeight="1">
      <c r="O319" s="393"/>
      <c r="S319" s="393"/>
      <c r="W319" s="393"/>
    </row>
    <row r="320" spans="15:23" ht="14.25" customHeight="1">
      <c r="O320" s="393"/>
      <c r="S320" s="393"/>
      <c r="W320" s="393"/>
    </row>
    <row r="321" spans="15:23" ht="14.25" customHeight="1">
      <c r="O321" s="393"/>
      <c r="S321" s="393"/>
      <c r="W321" s="393"/>
    </row>
    <row r="322" spans="15:23" ht="14.25" customHeight="1">
      <c r="O322" s="393"/>
      <c r="S322" s="393"/>
      <c r="W322" s="393"/>
    </row>
    <row r="323" spans="15:23" ht="14.25" customHeight="1">
      <c r="O323" s="393"/>
      <c r="S323" s="393"/>
      <c r="W323" s="393"/>
    </row>
    <row r="324" spans="15:23" ht="14.25" customHeight="1">
      <c r="O324" s="393"/>
      <c r="S324" s="393"/>
      <c r="W324" s="393"/>
    </row>
    <row r="325" spans="15:23" ht="14.25" customHeight="1">
      <c r="O325" s="393"/>
      <c r="S325" s="393"/>
      <c r="W325" s="393"/>
    </row>
    <row r="326" spans="15:23" ht="14.25" customHeight="1">
      <c r="O326" s="393"/>
      <c r="S326" s="393"/>
      <c r="W326" s="393"/>
    </row>
    <row r="327" spans="15:23" ht="14.25" customHeight="1">
      <c r="O327" s="393"/>
      <c r="S327" s="393"/>
      <c r="W327" s="393"/>
    </row>
    <row r="328" spans="15:23" ht="14.25" customHeight="1">
      <c r="O328" s="393"/>
      <c r="S328" s="393"/>
      <c r="W328" s="393"/>
    </row>
    <row r="329" spans="15:23" ht="14.25" customHeight="1">
      <c r="O329" s="393"/>
      <c r="S329" s="393"/>
      <c r="W329" s="393"/>
    </row>
    <row r="330" spans="15:23" ht="14.25" customHeight="1">
      <c r="O330" s="393"/>
      <c r="S330" s="393"/>
      <c r="W330" s="393"/>
    </row>
    <row r="331" spans="15:23" ht="14.25" customHeight="1">
      <c r="O331" s="393"/>
      <c r="S331" s="393"/>
      <c r="W331" s="393"/>
    </row>
    <row r="332" spans="15:23" ht="14.25" customHeight="1">
      <c r="O332" s="393"/>
      <c r="S332" s="393"/>
      <c r="W332" s="393"/>
    </row>
    <row r="333" spans="15:23" ht="14.25" customHeight="1">
      <c r="O333" s="393"/>
      <c r="S333" s="393"/>
      <c r="W333" s="393"/>
    </row>
    <row r="334" spans="15:23" ht="14.25" customHeight="1">
      <c r="O334" s="393"/>
      <c r="S334" s="393"/>
      <c r="W334" s="393"/>
    </row>
    <row r="335" spans="15:23" ht="14.25" customHeight="1">
      <c r="O335" s="393"/>
      <c r="S335" s="393"/>
      <c r="W335" s="393"/>
    </row>
    <row r="336" spans="15:23" ht="14.25" customHeight="1">
      <c r="O336" s="393"/>
      <c r="S336" s="393"/>
      <c r="W336" s="393"/>
    </row>
    <row r="337" spans="15:23" ht="14.25" customHeight="1">
      <c r="O337" s="393"/>
      <c r="S337" s="393"/>
      <c r="W337" s="393"/>
    </row>
    <row r="338" spans="15:23" ht="14.25" customHeight="1">
      <c r="O338" s="393"/>
      <c r="S338" s="393"/>
      <c r="W338" s="393"/>
    </row>
    <row r="339" spans="15:23" ht="14.25" customHeight="1">
      <c r="O339" s="393"/>
      <c r="S339" s="393"/>
      <c r="W339" s="393"/>
    </row>
    <row r="340" spans="15:23" ht="14.25" customHeight="1">
      <c r="O340" s="393"/>
      <c r="S340" s="393"/>
      <c r="W340" s="393"/>
    </row>
    <row r="341" spans="15:23" ht="14.25" customHeight="1">
      <c r="O341" s="393"/>
      <c r="S341" s="393"/>
      <c r="W341" s="393"/>
    </row>
    <row r="342" spans="15:23" ht="14.25" customHeight="1">
      <c r="O342" s="393"/>
      <c r="S342" s="393"/>
      <c r="W342" s="393"/>
    </row>
    <row r="343" spans="15:23" ht="14.25" customHeight="1">
      <c r="O343" s="393"/>
      <c r="S343" s="393"/>
      <c r="W343" s="393"/>
    </row>
    <row r="344" spans="15:23" ht="14.25" customHeight="1">
      <c r="O344" s="393"/>
      <c r="S344" s="393"/>
      <c r="W344" s="393"/>
    </row>
    <row r="345" spans="15:23" ht="14.25" customHeight="1">
      <c r="O345" s="393"/>
      <c r="S345" s="393"/>
      <c r="W345" s="393"/>
    </row>
    <row r="346" spans="15:23" ht="14.25" customHeight="1">
      <c r="O346" s="393"/>
      <c r="S346" s="393"/>
      <c r="W346" s="393"/>
    </row>
    <row r="347" spans="15:23" ht="14.25" customHeight="1">
      <c r="O347" s="393"/>
      <c r="S347" s="393"/>
      <c r="W347" s="393"/>
    </row>
    <row r="348" spans="15:23" ht="14.25" customHeight="1">
      <c r="O348" s="393"/>
      <c r="S348" s="393"/>
      <c r="W348" s="393"/>
    </row>
    <row r="349" spans="15:23" ht="14.25" customHeight="1">
      <c r="O349" s="393"/>
      <c r="S349" s="393"/>
      <c r="W349" s="393"/>
    </row>
    <row r="350" spans="15:23" ht="14.25" customHeight="1">
      <c r="O350" s="393"/>
      <c r="S350" s="393"/>
      <c r="W350" s="393"/>
    </row>
    <row r="351" spans="15:23" ht="14.25" customHeight="1">
      <c r="O351" s="393"/>
      <c r="S351" s="393"/>
      <c r="W351" s="393"/>
    </row>
    <row r="352" spans="15:23" ht="14.25" customHeight="1">
      <c r="O352" s="393"/>
      <c r="S352" s="393"/>
      <c r="W352" s="393"/>
    </row>
    <row r="353" spans="15:23" ht="14.25" customHeight="1">
      <c r="O353" s="393"/>
      <c r="S353" s="393"/>
      <c r="W353" s="393"/>
    </row>
    <row r="354" spans="15:23" ht="14.25" customHeight="1">
      <c r="O354" s="393"/>
      <c r="S354" s="393"/>
      <c r="W354" s="393"/>
    </row>
    <row r="355" spans="15:23" ht="14.25" customHeight="1">
      <c r="O355" s="393"/>
      <c r="S355" s="393"/>
      <c r="W355" s="393"/>
    </row>
    <row r="356" spans="15:23" ht="14.25" customHeight="1">
      <c r="O356" s="393"/>
      <c r="S356" s="393"/>
      <c r="W356" s="393"/>
    </row>
    <row r="357" spans="15:23" ht="14.25" customHeight="1">
      <c r="O357" s="393"/>
      <c r="S357" s="393"/>
      <c r="W357" s="393"/>
    </row>
    <row r="358" spans="15:23" ht="14.25" customHeight="1">
      <c r="O358" s="393"/>
      <c r="S358" s="393"/>
      <c r="W358" s="393"/>
    </row>
    <row r="359" spans="15:23" ht="14.25" customHeight="1">
      <c r="O359" s="393"/>
      <c r="S359" s="393"/>
      <c r="W359" s="393"/>
    </row>
    <row r="360" spans="15:23" ht="14.25" customHeight="1">
      <c r="O360" s="393"/>
      <c r="S360" s="393"/>
      <c r="W360" s="393"/>
    </row>
    <row r="361" spans="15:23" ht="14.25" customHeight="1">
      <c r="O361" s="393"/>
      <c r="S361" s="393"/>
      <c r="W361" s="393"/>
    </row>
    <row r="362" spans="15:23" ht="14.25" customHeight="1">
      <c r="O362" s="393"/>
      <c r="S362" s="393"/>
      <c r="W362" s="393"/>
    </row>
    <row r="363" spans="15:23" ht="14.25" customHeight="1">
      <c r="O363" s="393"/>
      <c r="S363" s="393"/>
      <c r="W363" s="393"/>
    </row>
    <row r="364" spans="15:23" ht="14.25" customHeight="1">
      <c r="O364" s="393"/>
      <c r="S364" s="393"/>
      <c r="W364" s="393"/>
    </row>
    <row r="365" spans="15:23" ht="14.25" customHeight="1">
      <c r="O365" s="393"/>
      <c r="S365" s="393"/>
      <c r="W365" s="393"/>
    </row>
    <row r="366" spans="15:23" ht="14.25" customHeight="1">
      <c r="O366" s="393"/>
      <c r="S366" s="393"/>
      <c r="W366" s="393"/>
    </row>
    <row r="367" spans="15:23" ht="14.25" customHeight="1">
      <c r="O367" s="393"/>
      <c r="S367" s="393"/>
      <c r="W367" s="393"/>
    </row>
    <row r="368" spans="15:23" ht="14.25" customHeight="1">
      <c r="O368" s="393"/>
      <c r="S368" s="393"/>
      <c r="W368" s="393"/>
    </row>
    <row r="369" spans="15:23" ht="14.25" customHeight="1">
      <c r="O369" s="393"/>
      <c r="S369" s="393"/>
      <c r="W369" s="393"/>
    </row>
    <row r="370" spans="15:23" ht="14.25" customHeight="1">
      <c r="O370" s="393"/>
      <c r="S370" s="393"/>
      <c r="W370" s="393"/>
    </row>
    <row r="371" spans="15:23" ht="14.25" customHeight="1">
      <c r="O371" s="393"/>
      <c r="S371" s="393"/>
      <c r="W371" s="393"/>
    </row>
    <row r="372" spans="15:23" ht="14.25" customHeight="1">
      <c r="O372" s="393"/>
      <c r="S372" s="393"/>
      <c r="W372" s="393"/>
    </row>
    <row r="373" spans="15:23" ht="14.25" customHeight="1">
      <c r="O373" s="393"/>
      <c r="S373" s="393"/>
      <c r="W373" s="393"/>
    </row>
    <row r="374" spans="15:23" ht="14.25" customHeight="1">
      <c r="O374" s="393"/>
      <c r="S374" s="393"/>
      <c r="W374" s="393"/>
    </row>
    <row r="375" spans="15:23" ht="14.25" customHeight="1">
      <c r="O375" s="393"/>
      <c r="S375" s="393"/>
      <c r="W375" s="393"/>
    </row>
    <row r="376" spans="15:23" ht="14.25" customHeight="1">
      <c r="O376" s="393"/>
      <c r="S376" s="393"/>
      <c r="W376" s="393"/>
    </row>
    <row r="377" spans="15:23" ht="14.25" customHeight="1">
      <c r="O377" s="393"/>
      <c r="S377" s="393"/>
      <c r="W377" s="393"/>
    </row>
    <row r="378" spans="15:23" ht="14.25" customHeight="1">
      <c r="O378" s="393"/>
      <c r="S378" s="393"/>
      <c r="W378" s="393"/>
    </row>
    <row r="379" spans="15:23" ht="14.25" customHeight="1">
      <c r="O379" s="393"/>
      <c r="S379" s="393"/>
      <c r="W379" s="393"/>
    </row>
    <row r="380" spans="15:23" ht="14.25" customHeight="1">
      <c r="O380" s="393"/>
      <c r="S380" s="393"/>
      <c r="W380" s="393"/>
    </row>
    <row r="381" spans="15:23" ht="14.25" customHeight="1">
      <c r="O381" s="393"/>
      <c r="S381" s="393"/>
      <c r="W381" s="393"/>
    </row>
    <row r="382" spans="15:23" ht="14.25" customHeight="1">
      <c r="O382" s="393"/>
      <c r="S382" s="393"/>
      <c r="W382" s="393"/>
    </row>
    <row r="383" spans="15:23" ht="14.25" customHeight="1">
      <c r="O383" s="393"/>
      <c r="S383" s="393"/>
      <c r="W383" s="393"/>
    </row>
    <row r="384" spans="15:23" ht="14.25" customHeight="1">
      <c r="O384" s="393"/>
      <c r="S384" s="393"/>
      <c r="W384" s="393"/>
    </row>
    <row r="385" spans="15:23" ht="14.25" customHeight="1">
      <c r="O385" s="393"/>
      <c r="S385" s="393"/>
      <c r="W385" s="393"/>
    </row>
    <row r="386" spans="15:23" ht="14.25" customHeight="1">
      <c r="O386" s="393"/>
      <c r="S386" s="393"/>
      <c r="W386" s="393"/>
    </row>
    <row r="387" spans="15:23" ht="14.25" customHeight="1">
      <c r="O387" s="393"/>
      <c r="S387" s="393"/>
      <c r="W387" s="393"/>
    </row>
    <row r="388" spans="15:23" ht="14.25" customHeight="1">
      <c r="O388" s="393"/>
      <c r="S388" s="393"/>
      <c r="W388" s="393"/>
    </row>
    <row r="389" spans="15:23" ht="14.25" customHeight="1">
      <c r="O389" s="393"/>
      <c r="S389" s="393"/>
      <c r="W389" s="393"/>
    </row>
    <row r="390" spans="15:23" ht="14.25" customHeight="1">
      <c r="O390" s="393"/>
      <c r="S390" s="393"/>
      <c r="W390" s="393"/>
    </row>
    <row r="391" spans="15:23" ht="14.25" customHeight="1">
      <c r="O391" s="393"/>
      <c r="S391" s="393"/>
      <c r="W391" s="393"/>
    </row>
    <row r="392" spans="15:23" ht="14.25" customHeight="1">
      <c r="O392" s="393"/>
      <c r="S392" s="393"/>
      <c r="W392" s="393"/>
    </row>
    <row r="393" spans="15:23" ht="14.25" customHeight="1">
      <c r="O393" s="393"/>
      <c r="S393" s="393"/>
      <c r="W393" s="393"/>
    </row>
    <row r="394" spans="15:23" ht="14.25" customHeight="1">
      <c r="O394" s="393"/>
      <c r="S394" s="393"/>
      <c r="W394" s="393"/>
    </row>
    <row r="395" spans="15:23" ht="14.25" customHeight="1">
      <c r="O395" s="393"/>
      <c r="S395" s="393"/>
      <c r="W395" s="393"/>
    </row>
    <row r="396" spans="15:23" ht="14.25" customHeight="1">
      <c r="O396" s="393"/>
      <c r="S396" s="393"/>
      <c r="W396" s="393"/>
    </row>
    <row r="397" spans="15:23" ht="14.25" customHeight="1">
      <c r="O397" s="393"/>
      <c r="S397" s="393"/>
      <c r="W397" s="393"/>
    </row>
    <row r="398" spans="15:23" ht="14.25" customHeight="1">
      <c r="O398" s="393"/>
      <c r="S398" s="393"/>
      <c r="W398" s="393"/>
    </row>
    <row r="399" spans="15:23" ht="14.25" customHeight="1">
      <c r="O399" s="393"/>
      <c r="S399" s="393"/>
      <c r="W399" s="393"/>
    </row>
    <row r="400" spans="15:23" ht="14.25" customHeight="1">
      <c r="O400" s="393"/>
      <c r="S400" s="393"/>
      <c r="W400" s="393"/>
    </row>
    <row r="401" spans="15:23" ht="14.25" customHeight="1">
      <c r="O401" s="393"/>
      <c r="S401" s="393"/>
      <c r="W401" s="393"/>
    </row>
    <row r="402" spans="15:23" ht="14.25" customHeight="1">
      <c r="O402" s="393"/>
      <c r="S402" s="393"/>
      <c r="W402" s="393"/>
    </row>
    <row r="403" spans="15:23" ht="14.25" customHeight="1">
      <c r="O403" s="393"/>
      <c r="S403" s="393"/>
      <c r="W403" s="393"/>
    </row>
    <row r="404" spans="15:23" ht="14.25" customHeight="1">
      <c r="O404" s="393"/>
      <c r="S404" s="393"/>
      <c r="W404" s="393"/>
    </row>
    <row r="405" spans="15:23" ht="14.25" customHeight="1">
      <c r="O405" s="393"/>
      <c r="S405" s="393"/>
      <c r="W405" s="393"/>
    </row>
    <row r="406" spans="15:23" ht="14.25" customHeight="1">
      <c r="O406" s="393"/>
      <c r="S406" s="393"/>
      <c r="W406" s="393"/>
    </row>
    <row r="407" spans="15:23" ht="14.25" customHeight="1">
      <c r="O407" s="393"/>
      <c r="S407" s="393"/>
      <c r="W407" s="393"/>
    </row>
    <row r="408" spans="15:23" ht="14.25" customHeight="1">
      <c r="O408" s="393"/>
      <c r="S408" s="393"/>
      <c r="W408" s="393"/>
    </row>
    <row r="409" spans="15:23" ht="14.25" customHeight="1">
      <c r="O409" s="393"/>
      <c r="S409" s="393"/>
      <c r="W409" s="393"/>
    </row>
    <row r="410" spans="15:23" ht="14.25" customHeight="1">
      <c r="O410" s="393"/>
      <c r="S410" s="393"/>
      <c r="W410" s="393"/>
    </row>
    <row r="411" spans="15:23" ht="14.25" customHeight="1">
      <c r="O411" s="393"/>
      <c r="S411" s="393"/>
      <c r="W411" s="393"/>
    </row>
    <row r="412" spans="15:23" ht="14.25" customHeight="1">
      <c r="O412" s="393"/>
      <c r="S412" s="393"/>
      <c r="W412" s="393"/>
    </row>
    <row r="413" spans="15:23" ht="14.25" customHeight="1">
      <c r="O413" s="393"/>
      <c r="S413" s="393"/>
      <c r="W413" s="393"/>
    </row>
    <row r="414" spans="15:23" ht="14.25" customHeight="1">
      <c r="O414" s="393"/>
      <c r="S414" s="393"/>
      <c r="W414" s="393"/>
    </row>
    <row r="415" spans="15:23" ht="14.25" customHeight="1">
      <c r="O415" s="393"/>
      <c r="S415" s="393"/>
      <c r="W415" s="393"/>
    </row>
    <row r="416" spans="15:23" ht="14.25" customHeight="1">
      <c r="O416" s="393"/>
      <c r="S416" s="393"/>
      <c r="W416" s="393"/>
    </row>
    <row r="417" spans="15:23" ht="14.25" customHeight="1">
      <c r="O417" s="393"/>
      <c r="S417" s="393"/>
      <c r="W417" s="393"/>
    </row>
    <row r="418" spans="15:23" ht="14.25" customHeight="1">
      <c r="O418" s="393"/>
      <c r="S418" s="393"/>
      <c r="W418" s="393"/>
    </row>
    <row r="419" spans="15:23" ht="14.25" customHeight="1">
      <c r="O419" s="393"/>
      <c r="S419" s="393"/>
      <c r="W419" s="393"/>
    </row>
    <row r="420" spans="15:23" ht="14.25" customHeight="1">
      <c r="O420" s="393"/>
      <c r="S420" s="393"/>
      <c r="W420" s="393"/>
    </row>
    <row r="421" spans="15:23" ht="14.25" customHeight="1">
      <c r="O421" s="393"/>
      <c r="S421" s="393"/>
      <c r="W421" s="393"/>
    </row>
    <row r="422" spans="15:23" ht="14.25" customHeight="1">
      <c r="O422" s="393"/>
      <c r="S422" s="393"/>
      <c r="W422" s="393"/>
    </row>
    <row r="423" spans="15:23" ht="14.25" customHeight="1">
      <c r="O423" s="393"/>
      <c r="S423" s="393"/>
      <c r="W423" s="393"/>
    </row>
    <row r="424" spans="15:23" ht="14.25" customHeight="1">
      <c r="O424" s="393"/>
      <c r="S424" s="393"/>
      <c r="W424" s="393"/>
    </row>
    <row r="425" spans="15:23" ht="14.25" customHeight="1">
      <c r="O425" s="393"/>
      <c r="S425" s="393"/>
      <c r="W425" s="393"/>
    </row>
    <row r="426" spans="15:23" ht="14.25" customHeight="1">
      <c r="O426" s="393"/>
      <c r="S426" s="393"/>
      <c r="W426" s="393"/>
    </row>
    <row r="427" spans="15:23" ht="14.25" customHeight="1">
      <c r="O427" s="393"/>
      <c r="S427" s="393"/>
      <c r="W427" s="393"/>
    </row>
    <row r="428" spans="15:23" ht="14.25" customHeight="1">
      <c r="O428" s="393"/>
      <c r="S428" s="393"/>
      <c r="W428" s="393"/>
    </row>
    <row r="429" spans="15:23" ht="14.25" customHeight="1">
      <c r="O429" s="393"/>
      <c r="S429" s="393"/>
      <c r="W429" s="393"/>
    </row>
    <row r="430" spans="15:23" ht="14.25" customHeight="1">
      <c r="O430" s="393"/>
      <c r="S430" s="393"/>
      <c r="W430" s="393"/>
    </row>
    <row r="431" spans="15:23" ht="14.25" customHeight="1">
      <c r="O431" s="393"/>
      <c r="S431" s="393"/>
      <c r="W431" s="393"/>
    </row>
    <row r="432" spans="15:23" ht="14.25" customHeight="1">
      <c r="O432" s="393"/>
      <c r="S432" s="393"/>
      <c r="W432" s="393"/>
    </row>
    <row r="433" spans="15:23" ht="14.25" customHeight="1">
      <c r="O433" s="393"/>
      <c r="S433" s="393"/>
      <c r="W433" s="393"/>
    </row>
    <row r="434" spans="15:23" ht="14.25" customHeight="1">
      <c r="O434" s="393"/>
      <c r="S434" s="393"/>
      <c r="W434" s="393"/>
    </row>
    <row r="435" spans="15:23" ht="14.25" customHeight="1">
      <c r="O435" s="393"/>
      <c r="S435" s="393"/>
      <c r="W435" s="393"/>
    </row>
    <row r="436" spans="15:23" ht="14.25" customHeight="1">
      <c r="O436" s="393"/>
      <c r="S436" s="393"/>
      <c r="W436" s="393"/>
    </row>
    <row r="437" spans="15:23" ht="14.25" customHeight="1">
      <c r="O437" s="393"/>
      <c r="S437" s="393"/>
      <c r="W437" s="393"/>
    </row>
    <row r="438" spans="15:23" ht="14.25" customHeight="1">
      <c r="O438" s="393"/>
      <c r="S438" s="393"/>
      <c r="W438" s="393"/>
    </row>
    <row r="439" spans="15:23" ht="14.25" customHeight="1">
      <c r="O439" s="393"/>
      <c r="S439" s="393"/>
      <c r="W439" s="393"/>
    </row>
    <row r="440" spans="15:23" ht="14.25" customHeight="1">
      <c r="O440" s="393"/>
      <c r="S440" s="393"/>
      <c r="W440" s="393"/>
    </row>
    <row r="441" spans="15:23" ht="14.25" customHeight="1">
      <c r="O441" s="393"/>
      <c r="S441" s="393"/>
      <c r="W441" s="393"/>
    </row>
    <row r="442" spans="15:23" ht="14.25" customHeight="1">
      <c r="O442" s="393"/>
      <c r="S442" s="393"/>
      <c r="W442" s="393"/>
    </row>
    <row r="443" spans="15:23" ht="14.25" customHeight="1">
      <c r="O443" s="393"/>
      <c r="S443" s="393"/>
      <c r="W443" s="393"/>
    </row>
    <row r="444" spans="15:23" ht="14.25" customHeight="1">
      <c r="O444" s="393"/>
      <c r="S444" s="393"/>
      <c r="W444" s="393"/>
    </row>
    <row r="445" spans="15:23" ht="14.25" customHeight="1">
      <c r="O445" s="393"/>
      <c r="S445" s="393"/>
      <c r="W445" s="393"/>
    </row>
    <row r="446" spans="15:23" ht="14.25" customHeight="1">
      <c r="O446" s="393"/>
      <c r="S446" s="393"/>
      <c r="W446" s="393"/>
    </row>
    <row r="447" spans="15:23" ht="14.25" customHeight="1">
      <c r="O447" s="393"/>
      <c r="S447" s="393"/>
      <c r="W447" s="393"/>
    </row>
    <row r="448" spans="15:23" ht="14.25" customHeight="1">
      <c r="O448" s="393"/>
      <c r="S448" s="393"/>
      <c r="W448" s="393"/>
    </row>
    <row r="449" spans="15:23" ht="14.25" customHeight="1">
      <c r="O449" s="393"/>
      <c r="S449" s="393"/>
      <c r="W449" s="393"/>
    </row>
    <row r="450" spans="15:23" ht="14.25" customHeight="1">
      <c r="O450" s="393"/>
      <c r="S450" s="393"/>
      <c r="W450" s="393"/>
    </row>
    <row r="451" spans="15:23" ht="14.25" customHeight="1">
      <c r="O451" s="393"/>
      <c r="S451" s="393"/>
      <c r="W451" s="393"/>
    </row>
    <row r="452" spans="15:23" ht="14.25" customHeight="1">
      <c r="O452" s="393"/>
      <c r="S452" s="393"/>
      <c r="W452" s="393"/>
    </row>
    <row r="453" spans="15:23" ht="14.25" customHeight="1">
      <c r="O453" s="393"/>
      <c r="S453" s="393"/>
      <c r="W453" s="393"/>
    </row>
    <row r="454" spans="15:23" ht="14.25" customHeight="1">
      <c r="O454" s="393"/>
      <c r="S454" s="393"/>
      <c r="W454" s="393"/>
    </row>
    <row r="455" spans="15:23" ht="14.25" customHeight="1">
      <c r="O455" s="393"/>
      <c r="S455" s="393"/>
      <c r="W455" s="393"/>
    </row>
    <row r="456" spans="15:23" ht="14.25" customHeight="1">
      <c r="O456" s="393"/>
      <c r="S456" s="393"/>
      <c r="W456" s="393"/>
    </row>
    <row r="457" spans="15:23" ht="14.25" customHeight="1">
      <c r="O457" s="393"/>
      <c r="S457" s="393"/>
      <c r="W457" s="393"/>
    </row>
    <row r="458" spans="15:23" ht="14.25" customHeight="1">
      <c r="O458" s="393"/>
      <c r="S458" s="393"/>
      <c r="W458" s="393"/>
    </row>
    <row r="459" spans="15:23" ht="14.25" customHeight="1">
      <c r="O459" s="393"/>
      <c r="S459" s="393"/>
      <c r="W459" s="393"/>
    </row>
    <row r="460" spans="15:23" ht="14.25" customHeight="1">
      <c r="O460" s="393"/>
      <c r="S460" s="393"/>
      <c r="W460" s="393"/>
    </row>
    <row r="461" spans="15:23" ht="14.25" customHeight="1">
      <c r="O461" s="393"/>
      <c r="S461" s="393"/>
      <c r="W461" s="393"/>
    </row>
    <row r="462" spans="15:23" ht="14.25" customHeight="1">
      <c r="O462" s="393"/>
      <c r="S462" s="393"/>
      <c r="W462" s="393"/>
    </row>
    <row r="463" spans="15:23" ht="14.25" customHeight="1">
      <c r="O463" s="393"/>
      <c r="S463" s="393"/>
      <c r="W463" s="393"/>
    </row>
    <row r="464" spans="15:23" ht="14.25" customHeight="1">
      <c r="O464" s="393"/>
      <c r="S464" s="393"/>
      <c r="W464" s="393"/>
    </row>
    <row r="465" spans="15:23" ht="14.25" customHeight="1">
      <c r="O465" s="393"/>
      <c r="S465" s="393"/>
      <c r="W465" s="393"/>
    </row>
    <row r="466" spans="15:23" ht="14.25" customHeight="1">
      <c r="O466" s="393"/>
      <c r="S466" s="393"/>
      <c r="W466" s="393"/>
    </row>
    <row r="467" spans="15:23" ht="14.25" customHeight="1">
      <c r="O467" s="393"/>
      <c r="S467" s="393"/>
      <c r="W467" s="393"/>
    </row>
    <row r="468" spans="15:23" ht="14.25" customHeight="1">
      <c r="O468" s="393"/>
      <c r="S468" s="393"/>
      <c r="W468" s="393"/>
    </row>
    <row r="469" spans="15:23" ht="14.25" customHeight="1">
      <c r="O469" s="393"/>
      <c r="S469" s="393"/>
      <c r="W469" s="393"/>
    </row>
    <row r="470" spans="15:23" ht="14.25" customHeight="1">
      <c r="O470" s="393"/>
      <c r="S470" s="393"/>
      <c r="W470" s="393"/>
    </row>
    <row r="471" spans="15:23" ht="14.25" customHeight="1">
      <c r="O471" s="393"/>
      <c r="S471" s="393"/>
      <c r="W471" s="393"/>
    </row>
    <row r="472" spans="15:23" ht="14.25" customHeight="1">
      <c r="O472" s="393"/>
      <c r="S472" s="393"/>
      <c r="W472" s="393"/>
    </row>
    <row r="473" spans="15:23" ht="14.25" customHeight="1">
      <c r="O473" s="393"/>
      <c r="S473" s="393"/>
      <c r="W473" s="393"/>
    </row>
    <row r="474" spans="15:23" ht="14.25" customHeight="1">
      <c r="O474" s="393"/>
      <c r="S474" s="393"/>
      <c r="W474" s="393"/>
    </row>
    <row r="475" spans="15:23" ht="14.25" customHeight="1">
      <c r="O475" s="393"/>
      <c r="S475" s="393"/>
      <c r="W475" s="393"/>
    </row>
    <row r="476" spans="15:23" ht="14.25" customHeight="1">
      <c r="O476" s="393"/>
      <c r="S476" s="393"/>
      <c r="W476" s="393"/>
    </row>
    <row r="477" spans="15:23" ht="14.25" customHeight="1">
      <c r="O477" s="393"/>
      <c r="S477" s="393"/>
      <c r="W477" s="393"/>
    </row>
    <row r="478" spans="15:23" ht="14.25" customHeight="1">
      <c r="O478" s="393"/>
      <c r="S478" s="393"/>
      <c r="W478" s="393"/>
    </row>
    <row r="479" spans="15:23" ht="14.25" customHeight="1">
      <c r="O479" s="393"/>
      <c r="S479" s="393"/>
      <c r="W479" s="393"/>
    </row>
    <row r="480" spans="15:23" ht="14.25" customHeight="1">
      <c r="O480" s="393"/>
      <c r="S480" s="393"/>
      <c r="W480" s="393"/>
    </row>
    <row r="481" spans="15:23" ht="14.25" customHeight="1">
      <c r="O481" s="393"/>
      <c r="S481" s="393"/>
      <c r="W481" s="393"/>
    </row>
    <row r="482" spans="15:23" ht="14.25" customHeight="1">
      <c r="O482" s="393"/>
      <c r="S482" s="393"/>
      <c r="W482" s="393"/>
    </row>
    <row r="483" spans="15:23" ht="14.25" customHeight="1">
      <c r="O483" s="393"/>
      <c r="S483" s="393"/>
      <c r="W483" s="393"/>
    </row>
    <row r="484" spans="15:23" ht="14.25" customHeight="1">
      <c r="O484" s="393"/>
      <c r="S484" s="393"/>
      <c r="W484" s="393"/>
    </row>
    <row r="485" spans="15:23" ht="14.25" customHeight="1">
      <c r="O485" s="393"/>
      <c r="S485" s="393"/>
      <c r="W485" s="393"/>
    </row>
    <row r="486" spans="15:23" ht="14.25" customHeight="1">
      <c r="O486" s="393"/>
      <c r="S486" s="393"/>
      <c r="W486" s="393"/>
    </row>
    <row r="487" spans="15:23" ht="14.25" customHeight="1">
      <c r="O487" s="393"/>
      <c r="S487" s="393"/>
      <c r="W487" s="393"/>
    </row>
    <row r="488" spans="15:23" ht="14.25" customHeight="1">
      <c r="O488" s="393"/>
      <c r="S488" s="393"/>
      <c r="W488" s="393"/>
    </row>
    <row r="489" spans="15:23" ht="14.25" customHeight="1">
      <c r="O489" s="393"/>
      <c r="S489" s="393"/>
      <c r="W489" s="393"/>
    </row>
    <row r="490" spans="15:23" ht="14.25" customHeight="1">
      <c r="O490" s="393"/>
      <c r="S490" s="393"/>
      <c r="W490" s="393"/>
    </row>
    <row r="491" spans="15:23" ht="14.25" customHeight="1">
      <c r="O491" s="393"/>
      <c r="S491" s="393"/>
      <c r="W491" s="393"/>
    </row>
    <row r="492" spans="15:23" ht="14.25" customHeight="1">
      <c r="O492" s="393"/>
      <c r="S492" s="393"/>
      <c r="W492" s="393"/>
    </row>
    <row r="493" spans="15:23" ht="14.25" customHeight="1">
      <c r="O493" s="393"/>
      <c r="S493" s="393"/>
      <c r="W493" s="393"/>
    </row>
    <row r="494" spans="15:23" ht="14.25" customHeight="1">
      <c r="O494" s="393"/>
      <c r="S494" s="393"/>
      <c r="W494" s="393"/>
    </row>
    <row r="495" spans="15:23" ht="14.25" customHeight="1">
      <c r="O495" s="393"/>
      <c r="S495" s="393"/>
      <c r="W495" s="393"/>
    </row>
    <row r="496" spans="15:23" ht="14.25" customHeight="1">
      <c r="O496" s="393"/>
      <c r="S496" s="393"/>
      <c r="W496" s="393"/>
    </row>
    <row r="497" spans="15:23" ht="14.25" customHeight="1">
      <c r="O497" s="393"/>
      <c r="S497" s="393"/>
      <c r="W497" s="393"/>
    </row>
    <row r="498" spans="15:23" ht="14.25" customHeight="1">
      <c r="O498" s="393"/>
      <c r="S498" s="393"/>
      <c r="W498" s="393"/>
    </row>
    <row r="499" spans="15:23" ht="14.25" customHeight="1">
      <c r="O499" s="393"/>
      <c r="S499" s="393"/>
      <c r="W499" s="393"/>
    </row>
    <row r="500" spans="15:23" ht="14.25" customHeight="1">
      <c r="O500" s="393"/>
      <c r="S500" s="393"/>
      <c r="W500" s="393"/>
    </row>
    <row r="501" spans="15:23" ht="14.25" customHeight="1">
      <c r="O501" s="393"/>
      <c r="S501" s="393"/>
      <c r="W501" s="393"/>
    </row>
    <row r="502" spans="15:23" ht="14.25" customHeight="1">
      <c r="O502" s="393"/>
      <c r="S502" s="393"/>
      <c r="W502" s="393"/>
    </row>
    <row r="503" spans="15:23" ht="14.25" customHeight="1">
      <c r="O503" s="393"/>
      <c r="S503" s="393"/>
      <c r="W503" s="393"/>
    </row>
    <row r="504" spans="15:23" ht="14.25" customHeight="1">
      <c r="O504" s="393"/>
      <c r="S504" s="393"/>
      <c r="W504" s="393"/>
    </row>
    <row r="505" spans="15:23" ht="14.25" customHeight="1">
      <c r="O505" s="393"/>
      <c r="S505" s="393"/>
      <c r="W505" s="393"/>
    </row>
    <row r="506" spans="15:23" ht="14.25" customHeight="1">
      <c r="O506" s="393"/>
      <c r="S506" s="393"/>
      <c r="W506" s="393"/>
    </row>
    <row r="507" spans="15:23" ht="14.25" customHeight="1">
      <c r="O507" s="393"/>
      <c r="S507" s="393"/>
      <c r="W507" s="393"/>
    </row>
    <row r="508" spans="15:23" ht="14.25" customHeight="1">
      <c r="O508" s="393"/>
      <c r="S508" s="393"/>
      <c r="W508" s="393"/>
    </row>
    <row r="509" spans="15:23" ht="14.25" customHeight="1">
      <c r="O509" s="393"/>
      <c r="S509" s="393"/>
      <c r="W509" s="393"/>
    </row>
    <row r="510" spans="15:23" ht="14.25" customHeight="1">
      <c r="O510" s="393"/>
      <c r="S510" s="393"/>
      <c r="W510" s="393"/>
    </row>
    <row r="511" spans="15:23" ht="14.25" customHeight="1">
      <c r="O511" s="393"/>
      <c r="S511" s="393"/>
      <c r="W511" s="393"/>
    </row>
    <row r="512" spans="15:23" ht="14.25" customHeight="1">
      <c r="O512" s="393"/>
      <c r="S512" s="393"/>
      <c r="W512" s="393"/>
    </row>
    <row r="513" spans="15:23" ht="14.25" customHeight="1">
      <c r="O513" s="393"/>
      <c r="S513" s="393"/>
      <c r="W513" s="393"/>
    </row>
    <row r="514" spans="15:23" ht="14.25" customHeight="1">
      <c r="O514" s="393"/>
      <c r="S514" s="393"/>
      <c r="W514" s="393"/>
    </row>
    <row r="515" spans="15:23" ht="14.25" customHeight="1">
      <c r="O515" s="393"/>
      <c r="S515" s="393"/>
      <c r="W515" s="393"/>
    </row>
    <row r="516" spans="15:23" ht="14.25" customHeight="1">
      <c r="O516" s="393"/>
      <c r="S516" s="393"/>
      <c r="W516" s="393"/>
    </row>
    <row r="517" spans="15:23" ht="14.25" customHeight="1">
      <c r="O517" s="393"/>
      <c r="S517" s="393"/>
      <c r="W517" s="393"/>
    </row>
    <row r="518" spans="15:23" ht="14.25" customHeight="1">
      <c r="O518" s="393"/>
      <c r="S518" s="393"/>
      <c r="W518" s="393"/>
    </row>
    <row r="519" spans="15:23" ht="14.25" customHeight="1">
      <c r="O519" s="393"/>
      <c r="S519" s="393"/>
      <c r="W519" s="393"/>
    </row>
    <row r="520" spans="15:23" ht="14.25" customHeight="1">
      <c r="O520" s="393"/>
      <c r="S520" s="393"/>
      <c r="W520" s="393"/>
    </row>
    <row r="521" spans="15:23" ht="14.25" customHeight="1">
      <c r="O521" s="393"/>
      <c r="S521" s="393"/>
      <c r="W521" s="393"/>
    </row>
    <row r="522" spans="15:23" ht="14.25" customHeight="1">
      <c r="O522" s="393"/>
      <c r="S522" s="393"/>
      <c r="W522" s="393"/>
    </row>
    <row r="523" spans="15:23" ht="14.25" customHeight="1">
      <c r="O523" s="393"/>
      <c r="S523" s="393"/>
      <c r="W523" s="393"/>
    </row>
    <row r="524" spans="15:23" ht="14.25" customHeight="1">
      <c r="O524" s="393"/>
      <c r="S524" s="393"/>
      <c r="W524" s="393"/>
    </row>
    <row r="525" spans="15:23" ht="14.25" customHeight="1">
      <c r="O525" s="393"/>
      <c r="S525" s="393"/>
      <c r="W525" s="393"/>
    </row>
    <row r="526" spans="15:23" ht="14.25" customHeight="1">
      <c r="O526" s="393"/>
      <c r="S526" s="393"/>
      <c r="W526" s="393"/>
    </row>
    <row r="527" spans="15:23" ht="14.25" customHeight="1">
      <c r="O527" s="393"/>
      <c r="S527" s="393"/>
      <c r="W527" s="393"/>
    </row>
    <row r="528" spans="15:23" ht="14.25" customHeight="1">
      <c r="O528" s="393"/>
      <c r="S528" s="393"/>
      <c r="W528" s="393"/>
    </row>
    <row r="529" spans="15:23" ht="14.25" customHeight="1">
      <c r="O529" s="393"/>
      <c r="S529" s="393"/>
      <c r="W529" s="393"/>
    </row>
    <row r="530" spans="15:23" ht="14.25" customHeight="1">
      <c r="O530" s="393"/>
      <c r="S530" s="393"/>
      <c r="W530" s="393"/>
    </row>
    <row r="531" spans="15:23" ht="14.25" customHeight="1">
      <c r="O531" s="393"/>
      <c r="S531" s="393"/>
      <c r="W531" s="393"/>
    </row>
    <row r="532" spans="15:23" ht="14.25" customHeight="1">
      <c r="O532" s="393"/>
      <c r="S532" s="393"/>
      <c r="W532" s="393"/>
    </row>
    <row r="533" spans="15:23" ht="14.25" customHeight="1">
      <c r="O533" s="393"/>
      <c r="S533" s="393"/>
      <c r="W533" s="393"/>
    </row>
    <row r="534" spans="15:23" ht="14.25" customHeight="1">
      <c r="O534" s="393"/>
      <c r="S534" s="393"/>
      <c r="W534" s="393"/>
    </row>
    <row r="535" spans="15:23" ht="14.25" customHeight="1">
      <c r="O535" s="393"/>
      <c r="S535" s="393"/>
      <c r="W535" s="393"/>
    </row>
    <row r="536" spans="15:23" ht="14.25" customHeight="1">
      <c r="O536" s="393"/>
      <c r="S536" s="393"/>
      <c r="W536" s="393"/>
    </row>
    <row r="537" spans="15:23" ht="14.25" customHeight="1">
      <c r="O537" s="393"/>
      <c r="S537" s="393"/>
      <c r="W537" s="393"/>
    </row>
    <row r="538" spans="15:23" ht="14.25" customHeight="1">
      <c r="O538" s="393"/>
      <c r="S538" s="393"/>
      <c r="W538" s="393"/>
    </row>
    <row r="539" spans="15:23" ht="14.25" customHeight="1">
      <c r="O539" s="393"/>
      <c r="S539" s="393"/>
      <c r="W539" s="393"/>
    </row>
    <row r="540" spans="15:23" ht="14.25" customHeight="1">
      <c r="O540" s="393"/>
      <c r="S540" s="393"/>
      <c r="W540" s="393"/>
    </row>
    <row r="541" spans="15:23" ht="14.25" customHeight="1">
      <c r="O541" s="393"/>
      <c r="S541" s="393"/>
      <c r="W541" s="393"/>
    </row>
    <row r="542" spans="15:23" ht="14.25" customHeight="1">
      <c r="O542" s="393"/>
      <c r="S542" s="393"/>
      <c r="W542" s="393"/>
    </row>
    <row r="543" spans="15:23" ht="14.25" customHeight="1">
      <c r="O543" s="393"/>
      <c r="S543" s="393"/>
      <c r="W543" s="393"/>
    </row>
    <row r="544" spans="15:23" ht="14.25" customHeight="1">
      <c r="O544" s="393"/>
      <c r="S544" s="393"/>
      <c r="W544" s="393"/>
    </row>
    <row r="545" spans="15:23" ht="14.25" customHeight="1">
      <c r="O545" s="393"/>
      <c r="S545" s="393"/>
      <c r="W545" s="393"/>
    </row>
    <row r="546" spans="15:23" ht="14.25" customHeight="1">
      <c r="O546" s="393"/>
      <c r="S546" s="393"/>
      <c r="W546" s="393"/>
    </row>
    <row r="547" spans="15:23" ht="14.25" customHeight="1">
      <c r="O547" s="393"/>
      <c r="S547" s="393"/>
      <c r="W547" s="393"/>
    </row>
    <row r="548" spans="15:23" ht="14.25" customHeight="1">
      <c r="O548" s="393"/>
      <c r="S548" s="393"/>
      <c r="W548" s="393"/>
    </row>
    <row r="549" spans="15:23" ht="14.25" customHeight="1">
      <c r="O549" s="393"/>
      <c r="S549" s="393"/>
      <c r="W549" s="393"/>
    </row>
    <row r="550" spans="15:23" ht="14.25" customHeight="1">
      <c r="O550" s="393"/>
      <c r="S550" s="393"/>
      <c r="W550" s="393"/>
    </row>
    <row r="551" spans="15:23" ht="14.25" customHeight="1">
      <c r="O551" s="393"/>
      <c r="S551" s="393"/>
      <c r="W551" s="393"/>
    </row>
    <row r="552" spans="15:23" ht="14.25" customHeight="1">
      <c r="O552" s="393"/>
      <c r="S552" s="393"/>
      <c r="W552" s="393"/>
    </row>
    <row r="553" spans="15:23" ht="14.25" customHeight="1">
      <c r="O553" s="393"/>
      <c r="S553" s="393"/>
      <c r="W553" s="393"/>
    </row>
    <row r="554" spans="15:23" ht="14.25" customHeight="1">
      <c r="O554" s="393"/>
      <c r="S554" s="393"/>
      <c r="W554" s="393"/>
    </row>
    <row r="555" spans="15:23" ht="14.25" customHeight="1">
      <c r="O555" s="393"/>
      <c r="S555" s="393"/>
      <c r="W555" s="393"/>
    </row>
    <row r="556" spans="15:23" ht="14.25" customHeight="1">
      <c r="O556" s="393"/>
      <c r="S556" s="393"/>
      <c r="W556" s="393"/>
    </row>
    <row r="557" spans="15:23" ht="14.25" customHeight="1">
      <c r="O557" s="393"/>
      <c r="S557" s="393"/>
      <c r="W557" s="393"/>
    </row>
    <row r="558" spans="15:23" ht="14.25" customHeight="1">
      <c r="O558" s="393"/>
      <c r="S558" s="393"/>
      <c r="W558" s="393"/>
    </row>
    <row r="559" spans="15:23" ht="14.25" customHeight="1">
      <c r="O559" s="393"/>
      <c r="S559" s="393"/>
      <c r="W559" s="393"/>
    </row>
    <row r="560" spans="15:23" ht="14.25" customHeight="1">
      <c r="O560" s="393"/>
      <c r="S560" s="393"/>
      <c r="W560" s="393"/>
    </row>
    <row r="561" spans="15:23" ht="14.25" customHeight="1">
      <c r="O561" s="393"/>
      <c r="S561" s="393"/>
      <c r="W561" s="393"/>
    </row>
    <row r="562" spans="15:23" ht="14.25" customHeight="1">
      <c r="O562" s="393"/>
      <c r="S562" s="393"/>
      <c r="W562" s="393"/>
    </row>
    <row r="563" spans="15:23" ht="14.25" customHeight="1">
      <c r="O563" s="393"/>
      <c r="S563" s="393"/>
      <c r="W563" s="393"/>
    </row>
    <row r="564" spans="15:23" ht="14.25" customHeight="1">
      <c r="O564" s="393"/>
      <c r="S564" s="393"/>
      <c r="W564" s="393"/>
    </row>
    <row r="565" spans="15:23" ht="14.25" customHeight="1">
      <c r="O565" s="393"/>
      <c r="S565" s="393"/>
      <c r="W565" s="393"/>
    </row>
    <row r="566" spans="15:23" ht="14.25" customHeight="1">
      <c r="O566" s="393"/>
      <c r="S566" s="393"/>
      <c r="W566" s="393"/>
    </row>
    <row r="567" spans="15:23" ht="14.25" customHeight="1">
      <c r="O567" s="393"/>
      <c r="S567" s="393"/>
      <c r="W567" s="393"/>
    </row>
    <row r="568" spans="15:23" ht="14.25" customHeight="1">
      <c r="O568" s="393"/>
      <c r="S568" s="393"/>
      <c r="W568" s="393"/>
    </row>
    <row r="569" spans="15:23" ht="14.25" customHeight="1">
      <c r="O569" s="393"/>
      <c r="S569" s="393"/>
      <c r="W569" s="393"/>
    </row>
    <row r="570" spans="15:23" ht="14.25" customHeight="1">
      <c r="O570" s="393"/>
      <c r="S570" s="393"/>
      <c r="W570" s="393"/>
    </row>
    <row r="571" spans="15:23" ht="14.25" customHeight="1">
      <c r="O571" s="393"/>
      <c r="S571" s="393"/>
      <c r="W571" s="393"/>
    </row>
    <row r="572" spans="15:23" ht="14.25" customHeight="1">
      <c r="O572" s="393"/>
      <c r="S572" s="393"/>
      <c r="W572" s="393"/>
    </row>
    <row r="573" spans="15:23" ht="14.25" customHeight="1">
      <c r="O573" s="393"/>
      <c r="S573" s="393"/>
      <c r="W573" s="393"/>
    </row>
    <row r="574" spans="15:23" ht="14.25" customHeight="1">
      <c r="O574" s="393"/>
      <c r="S574" s="393"/>
      <c r="W574" s="393"/>
    </row>
    <row r="575" spans="15:23" ht="14.25" customHeight="1">
      <c r="O575" s="393"/>
      <c r="S575" s="393"/>
      <c r="W575" s="393"/>
    </row>
    <row r="576" spans="15:23" ht="14.25" customHeight="1">
      <c r="O576" s="393"/>
      <c r="S576" s="393"/>
      <c r="W576" s="393"/>
    </row>
    <row r="577" spans="15:23" ht="14.25" customHeight="1">
      <c r="O577" s="393"/>
      <c r="S577" s="393"/>
      <c r="W577" s="393"/>
    </row>
    <row r="578" spans="15:23" ht="14.25" customHeight="1">
      <c r="O578" s="393"/>
      <c r="S578" s="393"/>
      <c r="W578" s="393"/>
    </row>
    <row r="579" spans="15:23" ht="14.25" customHeight="1">
      <c r="O579" s="393"/>
      <c r="S579" s="393"/>
      <c r="W579" s="393"/>
    </row>
    <row r="580" spans="15:23" ht="14.25" customHeight="1">
      <c r="O580" s="393"/>
      <c r="S580" s="393"/>
      <c r="W580" s="393"/>
    </row>
    <row r="581" spans="15:23" ht="14.25" customHeight="1">
      <c r="O581" s="393"/>
      <c r="S581" s="393"/>
      <c r="W581" s="393"/>
    </row>
  </sheetData>
  <sheetProtection algorithmName="SHA-512" hashValue="tm1fZ+V8gtZpP+PT/GGcd/bGAkmMkoAe0/4Ut2W1nRhQjRv+n0hxaB6lHivK+1ePz1SBgFUldnL3aVV3R0UjTw==" saltValue="311woW1hEGfaQ1kckFL0hQ==" spinCount="100000" sheet="1" selectLockedCells="1"/>
  <mergeCells count="3">
    <mergeCell ref="A1:AC1"/>
    <mergeCell ref="A2:AC2"/>
    <mergeCell ref="A3:AC3"/>
  </mergeCells>
  <dataValidations count="1">
    <dataValidation type="list" allowBlank="1" showInputMessage="1" showErrorMessage="1" sqref="D11:D24" xr:uid="{00000000-0002-0000-0A00-000000000000}">
      <formula1>"6,7,8,9,10,11,12,13,14,15,16,17,17 bis,18,19,20,21,22"</formula1>
    </dataValidation>
  </dataValidations>
  <printOptions horizontalCentered="1"/>
  <pageMargins left="0.15748031496062992" right="0.15748031496062992" top="0.15748031496062992" bottom="0.15748031496062992" header="0.15748031496062992" footer="0.15748031496062992"/>
  <pageSetup paperSize="8" scale="54" fitToHeight="30" orientation="landscape" r:id="rId1"/>
  <rowBreaks count="4" manualBreakCount="4">
    <brk id="54" max="16383" man="1"/>
    <brk id="77" max="16383" man="1"/>
    <brk id="83" max="16383" man="1"/>
    <brk id="107" max="16383" man="1"/>
  </rowBreak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14"/>
  <sheetViews>
    <sheetView topLeftCell="A9" workbookViewId="0">
      <selection activeCell="C12" sqref="C12"/>
    </sheetView>
  </sheetViews>
  <sheetFormatPr defaultRowHeight="25.5" customHeight="1"/>
  <cols>
    <col min="1" max="3" width="14.7109375" customWidth="1"/>
    <col min="4" max="4" width="17.85546875" bestFit="1" customWidth="1"/>
    <col min="5" max="5" width="23.28515625" bestFit="1" customWidth="1"/>
    <col min="6" max="6" width="14.7109375" bestFit="1" customWidth="1"/>
    <col min="7" max="8" width="14.42578125" bestFit="1" customWidth="1"/>
    <col min="9" max="10" width="16.140625" customWidth="1"/>
    <col min="12" max="12" width="15" bestFit="1" customWidth="1"/>
  </cols>
  <sheetData>
    <row r="1" spans="1:12" ht="30" customHeight="1">
      <c r="A1" s="554" t="str">
        <f>Menù!D3</f>
        <v>Trovato 1929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2" ht="43.5" customHeight="1">
      <c r="A2" s="555" t="str">
        <f>Menù!A2</f>
        <v>Budget e Business Plan</v>
      </c>
      <c r="B2" s="555"/>
      <c r="C2" s="555"/>
      <c r="D2" s="555"/>
      <c r="E2" s="555"/>
      <c r="F2" s="555"/>
      <c r="G2" s="555"/>
      <c r="H2" s="555"/>
      <c r="I2" s="555"/>
      <c r="J2" s="555"/>
    </row>
    <row r="3" spans="1:12" ht="15" customHeight="1">
      <c r="A3" s="556" t="s">
        <v>275</v>
      </c>
      <c r="B3" s="556"/>
      <c r="C3" s="556"/>
      <c r="D3" s="556"/>
      <c r="E3" s="556"/>
      <c r="F3" s="556"/>
      <c r="G3" s="556"/>
      <c r="H3" s="556"/>
      <c r="I3" s="535" t="s">
        <v>276</v>
      </c>
      <c r="J3" s="156">
        <v>2025</v>
      </c>
    </row>
    <row r="4" spans="1:12" ht="10.5" customHeight="1">
      <c r="A4" s="582"/>
      <c r="B4" s="582"/>
      <c r="C4" s="582"/>
      <c r="D4" s="582"/>
      <c r="E4" s="582"/>
      <c r="F4" s="582"/>
      <c r="G4" s="582"/>
      <c r="H4" s="582"/>
      <c r="I4" s="582"/>
      <c r="J4" s="582"/>
    </row>
    <row r="5" spans="1:12" ht="24.75" customHeight="1">
      <c r="A5" s="583" t="s">
        <v>277</v>
      </c>
      <c r="B5" s="583"/>
      <c r="C5" s="583"/>
      <c r="D5" s="583"/>
      <c r="E5" s="583"/>
      <c r="F5" s="583"/>
      <c r="G5" s="583"/>
      <c r="H5" s="583"/>
      <c r="I5" s="583"/>
      <c r="J5" s="583"/>
    </row>
    <row r="6" spans="1:12" ht="21.4" customHeight="1">
      <c r="A6" s="79" t="s">
        <v>278</v>
      </c>
      <c r="B6" s="79" t="s">
        <v>279</v>
      </c>
      <c r="C6" s="79" t="s">
        <v>280</v>
      </c>
      <c r="D6" s="79" t="s">
        <v>281</v>
      </c>
      <c r="E6" s="79" t="s">
        <v>282</v>
      </c>
      <c r="F6" s="79" t="s">
        <v>283</v>
      </c>
      <c r="G6" s="79" t="s">
        <v>284</v>
      </c>
      <c r="H6" s="79" t="s">
        <v>285</v>
      </c>
      <c r="I6" s="79" t="s">
        <v>286</v>
      </c>
      <c r="J6" s="79" t="s">
        <v>287</v>
      </c>
    </row>
    <row r="7" spans="1:12" ht="41.25" customHeight="1" thickBot="1">
      <c r="A7" s="175">
        <f>HLOOKUP(J3,Riclassificato!B7:G68,61,FALSE)</f>
        <v>283390.19285714283</v>
      </c>
      <c r="B7" s="175">
        <f>HLOOKUP(J3,Riclassificato!B7:G68,62,FALSE)</f>
        <v>322713.8778974025</v>
      </c>
      <c r="C7" s="175">
        <f>A7+B7</f>
        <v>606104.07075454528</v>
      </c>
      <c r="D7" s="80">
        <f>'W Plur.'!B119/'W Plur.'!B104</f>
        <v>8.1818181818181799</v>
      </c>
      <c r="E7" s="155">
        <f>B7/'W Plur.'!B104</f>
        <v>3.5042552870759947</v>
      </c>
      <c r="F7" s="176">
        <f>A7/(D7-E7)</f>
        <v>60585.009594566349</v>
      </c>
      <c r="G7" s="177">
        <f>A7+(F7*E7)</f>
        <v>495695.53304645186</v>
      </c>
      <c r="H7" s="177">
        <f>F7*D7</f>
        <v>495695.5330464518</v>
      </c>
      <c r="I7" s="81" t="s">
        <v>288</v>
      </c>
      <c r="J7" s="82" t="s">
        <v>289</v>
      </c>
    </row>
    <row r="8" spans="1:12" ht="10.9" customHeight="1" thickTop="1">
      <c r="A8" s="83"/>
      <c r="B8" s="83"/>
      <c r="C8" s="83"/>
      <c r="D8" s="87"/>
      <c r="E8" s="83"/>
      <c r="F8" s="86"/>
      <c r="G8" s="83"/>
      <c r="H8" s="83"/>
      <c r="I8" s="83"/>
      <c r="J8" s="83"/>
    </row>
    <row r="9" spans="1:12" ht="69" customHeight="1">
      <c r="A9" s="580" t="s">
        <v>290</v>
      </c>
      <c r="B9" s="580"/>
      <c r="C9" s="580"/>
      <c r="D9" s="581"/>
      <c r="E9" s="158"/>
      <c r="F9" s="158"/>
      <c r="G9" s="158"/>
      <c r="H9" s="158"/>
      <c r="I9" s="158"/>
      <c r="J9" s="158"/>
    </row>
    <row r="10" spans="1:12" ht="69" customHeight="1">
      <c r="A10" s="84" t="s">
        <v>291</v>
      </c>
      <c r="B10" s="84" t="s">
        <v>284</v>
      </c>
      <c r="C10" s="84" t="s">
        <v>285</v>
      </c>
      <c r="D10" s="85" t="s">
        <v>292</v>
      </c>
      <c r="E10" s="159"/>
      <c r="F10" s="159"/>
      <c r="G10" s="159"/>
      <c r="H10" s="159"/>
      <c r="I10" s="159"/>
      <c r="J10" s="159"/>
      <c r="L10" s="102"/>
    </row>
    <row r="11" spans="1:12" ht="69" customHeight="1">
      <c r="A11" s="112">
        <v>0</v>
      </c>
      <c r="B11" s="178">
        <f>A7+(A11*E7)</f>
        <v>283390.19285714283</v>
      </c>
      <c r="C11" s="178">
        <f>A11*D7</f>
        <v>0</v>
      </c>
      <c r="D11" s="179">
        <f>C11-B11</f>
        <v>-283390.19285714283</v>
      </c>
      <c r="E11" s="159"/>
      <c r="F11" s="159"/>
      <c r="G11" s="159"/>
      <c r="H11" s="159"/>
      <c r="I11" s="159"/>
      <c r="J11" s="159"/>
      <c r="L11" s="107"/>
    </row>
    <row r="12" spans="1:12" ht="69" customHeight="1">
      <c r="A12" s="113">
        <f>F7</f>
        <v>60585.009594566349</v>
      </c>
      <c r="B12" s="180">
        <f>G7</f>
        <v>495695.53304645186</v>
      </c>
      <c r="C12" s="180">
        <f>H7</f>
        <v>495695.5330464518</v>
      </c>
      <c r="D12" s="181">
        <f>C12-B12</f>
        <v>0</v>
      </c>
      <c r="E12" s="159"/>
      <c r="F12" s="159"/>
      <c r="G12" s="159"/>
      <c r="H12" s="159"/>
      <c r="I12" s="159"/>
      <c r="J12" s="159"/>
      <c r="L12" s="107"/>
    </row>
    <row r="13" spans="1:12" ht="69" customHeight="1" thickBot="1">
      <c r="A13" s="114">
        <f>'W Plur.'!B104</f>
        <v>92092</v>
      </c>
      <c r="B13" s="182">
        <f>A7+(A13*E7)</f>
        <v>606104.07075454528</v>
      </c>
      <c r="C13" s="182">
        <f>A13*D7</f>
        <v>753479.99999999977</v>
      </c>
      <c r="D13" s="183">
        <f>C13-B13</f>
        <v>147375.92924545449</v>
      </c>
      <c r="E13" s="160"/>
      <c r="F13" s="160"/>
      <c r="G13" s="160"/>
      <c r="H13" s="160"/>
      <c r="I13" s="160"/>
      <c r="J13" s="160"/>
      <c r="L13" s="102"/>
    </row>
    <row r="14" spans="1:12" ht="25.5" customHeight="1" thickTop="1">
      <c r="B14" s="102"/>
    </row>
  </sheetData>
  <sheetProtection algorithmName="SHA-512" hashValue="5c3/ZVc13ZnH5jUHalkmZJSOXYTEdmn8d+zuTsekVNhOtQ/+Oe+94eujeD5822o7s2L0CRnCAUvpxQjeTxbcdA==" saltValue="m+Z9VO3N1JOxp4EESl47kg==" spinCount="100000" sheet="1" objects="1" scenarios="1" selectLockedCells="1"/>
  <mergeCells count="6">
    <mergeCell ref="A9:D9"/>
    <mergeCell ref="A4:J4"/>
    <mergeCell ref="A2:J2"/>
    <mergeCell ref="A1:J1"/>
    <mergeCell ref="A5:J5"/>
    <mergeCell ref="A3:H3"/>
  </mergeCells>
  <pageMargins left="0.31496062992125984" right="0.31496062992125984" top="0.39370078740157483" bottom="0.39370078740157483" header="0.15748031496062992" footer="0.15748031496062992"/>
  <pageSetup paperSize="9" scale="8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10C75-5D60-4C91-B58F-741E2B54F7E3}">
  <sheetPr>
    <pageSetUpPr fitToPage="1"/>
  </sheetPr>
  <dimension ref="A1:J37"/>
  <sheetViews>
    <sheetView topLeftCell="A34" workbookViewId="0">
      <selection activeCell="B34" sqref="B34"/>
    </sheetView>
  </sheetViews>
  <sheetFormatPr defaultRowHeight="12.75"/>
  <cols>
    <col min="1" max="1" width="50.85546875" customWidth="1"/>
    <col min="2" max="6" width="23.42578125" customWidth="1"/>
    <col min="7" max="7" width="13" bestFit="1" customWidth="1"/>
    <col min="8" max="8" width="11.28515625" bestFit="1" customWidth="1"/>
    <col min="9" max="10" width="13" bestFit="1" customWidth="1"/>
  </cols>
  <sheetData>
    <row r="1" spans="1:6" ht="26.1" customHeight="1">
      <c r="A1" s="550" t="str">
        <f>Menù!D3</f>
        <v>Trovato 1929</v>
      </c>
      <c r="B1" s="550"/>
      <c r="C1" s="550"/>
      <c r="D1" s="550"/>
      <c r="E1" s="550"/>
      <c r="F1" s="550"/>
    </row>
    <row r="2" spans="1:6" ht="50.1" customHeight="1">
      <c r="A2" s="555" t="str">
        <f>Menù!A2</f>
        <v>Budget e Business Plan</v>
      </c>
      <c r="B2" s="555"/>
      <c r="C2" s="555"/>
      <c r="D2" s="555"/>
      <c r="E2" s="555"/>
      <c r="F2" s="555"/>
    </row>
    <row r="3" spans="1:6" ht="17.649999999999999" customHeight="1">
      <c r="A3" s="584" t="s">
        <v>293</v>
      </c>
      <c r="B3" s="584"/>
      <c r="C3" s="584"/>
      <c r="D3" s="584"/>
      <c r="E3" s="584"/>
      <c r="F3" s="584"/>
    </row>
    <row r="5" spans="1:6" ht="18" customHeight="1">
      <c r="A5" s="45" t="s">
        <v>294</v>
      </c>
      <c r="B5" s="45">
        <f>Menù!K3</f>
        <v>2025</v>
      </c>
      <c r="C5" s="45">
        <f>B5+1</f>
        <v>2026</v>
      </c>
      <c r="D5" s="45">
        <f t="shared" ref="D5:F5" si="0">C5+1</f>
        <v>2027</v>
      </c>
      <c r="E5" s="45">
        <f t="shared" si="0"/>
        <v>2028</v>
      </c>
      <c r="F5" s="45">
        <f t="shared" si="0"/>
        <v>2029</v>
      </c>
    </row>
    <row r="6" spans="1:6">
      <c r="A6" s="119"/>
      <c r="B6" s="42"/>
      <c r="C6" s="119"/>
      <c r="D6" s="119"/>
      <c r="E6" s="119"/>
      <c r="F6" s="119"/>
    </row>
    <row r="7" spans="1:6" ht="16.5" customHeight="1">
      <c r="A7" s="543" t="s">
        <v>67</v>
      </c>
      <c r="B7" s="538">
        <f>'W Plur.'!B119</f>
        <v>753479.99999999988</v>
      </c>
      <c r="C7" s="538">
        <f>'W Plur.'!C119</f>
        <v>808377.81818181812</v>
      </c>
      <c r="D7" s="538">
        <f>'W Plur.'!D119</f>
        <v>865170.15709090896</v>
      </c>
      <c r="E7" s="538">
        <f>'W Plur.'!E119</f>
        <v>923910.83842909092</v>
      </c>
      <c r="F7" s="538">
        <f>'W Plur.'!F119</f>
        <v>984655.07895796373</v>
      </c>
    </row>
    <row r="8" spans="1:6" ht="16.5" customHeight="1">
      <c r="A8" s="119"/>
      <c r="B8" s="119"/>
      <c r="C8" s="119"/>
      <c r="D8" s="119"/>
      <c r="E8" s="119"/>
      <c r="F8" s="119"/>
    </row>
    <row r="9" spans="1:6" ht="16.5" customHeight="1">
      <c r="A9" s="548" t="str">
        <f>'Plur. Gen. C.'!A10</f>
        <v>Raw materials and finished products</v>
      </c>
      <c r="B9" s="152">
        <f>'Plur. Gen. C.'!J18</f>
        <v>210974.4</v>
      </c>
      <c r="C9" s="152">
        <f>'Plur. Gen. C.'!N18</f>
        <v>226345.78909090909</v>
      </c>
      <c r="D9" s="152">
        <f>'Plur. Gen. C.'!R18</f>
        <v>242247.64398545455</v>
      </c>
      <c r="E9" s="152">
        <f>'Plur. Gen. C.'!V18</f>
        <v>258695.03476014547</v>
      </c>
      <c r="F9" s="152">
        <f>'Plur. Gen. C.'!Z18</f>
        <v>275703.42210822989</v>
      </c>
    </row>
    <row r="10" spans="1:6" ht="16.5" customHeight="1">
      <c r="A10" s="548" t="str">
        <f>'Plur. Gen. C.'!A19</f>
        <v>Others and Disposable</v>
      </c>
      <c r="B10" s="141">
        <f>'Plur. Gen. C.'!J24</f>
        <v>2400</v>
      </c>
      <c r="C10" s="141">
        <f>'Plur. Gen. C.'!N24</f>
        <v>2568</v>
      </c>
      <c r="D10" s="141">
        <f>'Plur. Gen. C.'!R24</f>
        <v>2696.4</v>
      </c>
      <c r="E10" s="141">
        <f>'Plur. Gen. C.'!V24</f>
        <v>2831.2200000000003</v>
      </c>
      <c r="F10" s="141">
        <f>'Plur. Gen. C.'!Z24</f>
        <v>2972.7810000000004</v>
      </c>
    </row>
    <row r="11" spans="1:6" ht="16.5" customHeight="1">
      <c r="A11" s="543" t="str">
        <f>'Plur. Gen. C.'!A26</f>
        <v>Totale COGS</v>
      </c>
      <c r="B11" s="538">
        <f>SUM(B9:B10)</f>
        <v>213374.4</v>
      </c>
      <c r="C11" s="538">
        <f>SUM(C9:C10)</f>
        <v>228913.78909090909</v>
      </c>
      <c r="D11" s="538">
        <f>SUM(D9:D10)</f>
        <v>244944.04398545454</v>
      </c>
      <c r="E11" s="538">
        <f>SUM(E9:E10)</f>
        <v>261526.25476014547</v>
      </c>
      <c r="F11" s="538">
        <f>SUM(F9:F10)</f>
        <v>278676.20310822991</v>
      </c>
    </row>
    <row r="12" spans="1:6" ht="16.5" customHeight="1">
      <c r="A12" s="548" t="str">
        <f>'Plur. Gen. C.'!A29</f>
        <v>Sales costs</v>
      </c>
      <c r="B12" s="141">
        <f>'Plur. Gen. C.'!J36</f>
        <v>22384.103999999999</v>
      </c>
      <c r="C12" s="141">
        <f>'Plur. Gen. C.'!N36</f>
        <v>22922.10261818182</v>
      </c>
      <c r="D12" s="141">
        <f>'Plur. Gen. C.'!R36</f>
        <v>24078.667539490911</v>
      </c>
      <c r="E12" s="141">
        <f>'Plur. Gen. C.'!V36</f>
        <v>24654.326216605092</v>
      </c>
      <c r="F12" s="141">
        <f>'Plur. Gen. C.'!Z36</f>
        <v>25249.619773788047</v>
      </c>
    </row>
    <row r="13" spans="1:6" ht="16.5" customHeight="1">
      <c r="A13" s="548" t="str">
        <f>'Plur. Gen. C.'!A37</f>
        <v>Utilities</v>
      </c>
      <c r="B13" s="141">
        <f>'Plur. Gen. C.'!J42</f>
        <v>28200</v>
      </c>
      <c r="C13" s="141">
        <f>'Plur. Gen. C.'!N42</f>
        <v>29922</v>
      </c>
      <c r="D13" s="141">
        <f>'Plur. Gen. C.'!R42</f>
        <v>31238.1</v>
      </c>
      <c r="E13" s="141">
        <f>'Plur. Gen. C.'!V42</f>
        <v>32620.005000000005</v>
      </c>
      <c r="F13" s="141">
        <f>'Plur. Gen. C.'!Z42</f>
        <v>34071.005250000002</v>
      </c>
    </row>
    <row r="14" spans="1:6" ht="16.5" customHeight="1">
      <c r="A14" s="548" t="str">
        <f>'Plur. Gen. C.'!A43</f>
        <v>Marketing</v>
      </c>
      <c r="B14" s="141">
        <f>'Plur. Gen. C.'!J48</f>
        <v>12000</v>
      </c>
      <c r="C14" s="141">
        <f>'Plur. Gen. C.'!N48</f>
        <v>12000</v>
      </c>
      <c r="D14" s="141">
        <f>'Plur. Gen. C.'!R48</f>
        <v>14400</v>
      </c>
      <c r="E14" s="141">
        <f>'Plur. Gen. C.'!V48</f>
        <v>14400</v>
      </c>
      <c r="F14" s="141">
        <f>'Plur. Gen. C.'!Z48</f>
        <v>14400</v>
      </c>
    </row>
    <row r="15" spans="1:6" ht="16.5" customHeight="1">
      <c r="A15" s="548" t="str">
        <f>'Plur. Gen. C.'!A49</f>
        <v>Banking costs</v>
      </c>
      <c r="B15" s="141">
        <f>'Plur. Gen. C.'!J52</f>
        <v>1080</v>
      </c>
      <c r="C15" s="141">
        <f>'Plur. Gen. C.'!N52</f>
        <v>1080</v>
      </c>
      <c r="D15" s="141">
        <f>'Plur. Gen. C.'!R52</f>
        <v>1080</v>
      </c>
      <c r="E15" s="141">
        <f>'Plur. Gen. C.'!V52</f>
        <v>1080</v>
      </c>
      <c r="F15" s="141">
        <f>'Plur. Gen. C.'!Z52</f>
        <v>1080</v>
      </c>
    </row>
    <row r="16" spans="1:6" ht="16.5" customHeight="1">
      <c r="A16" s="543" t="str">
        <f>'Plur. Gen. C.'!A54</f>
        <v>Totale Sales and Management costs</v>
      </c>
      <c r="B16" s="538">
        <f>SUM(B12:B15)</f>
        <v>63664.103999999999</v>
      </c>
      <c r="C16" s="538">
        <f>SUM(C12:C15)</f>
        <v>65924.102618181816</v>
      </c>
      <c r="D16" s="538">
        <f>SUM(D12:D15)</f>
        <v>70796.767539490917</v>
      </c>
      <c r="E16" s="538">
        <f>SUM(E12:E15)</f>
        <v>72754.331216605089</v>
      </c>
      <c r="F16" s="538">
        <f>SUM(F12:F15)</f>
        <v>74800.625023788045</v>
      </c>
    </row>
    <row r="17" spans="1:10" ht="16.5" customHeight="1">
      <c r="A17" s="548" t="str">
        <f>'Plur. Gen. C.'!A57</f>
        <v>General costs</v>
      </c>
      <c r="B17" s="141">
        <f>'Plur. Gen. C.'!J61</f>
        <v>3000</v>
      </c>
      <c r="C17" s="141">
        <f>'Plur. Gen. C.'!N61</f>
        <v>3000</v>
      </c>
      <c r="D17" s="141">
        <f>'Plur. Gen. C.'!R61</f>
        <v>3000</v>
      </c>
      <c r="E17" s="141">
        <f>'Plur. Gen. C.'!V61</f>
        <v>3000</v>
      </c>
      <c r="F17" s="141">
        <f>'Plur. Gen. C.'!Z61</f>
        <v>3000</v>
      </c>
    </row>
    <row r="18" spans="1:10" ht="16.5" customHeight="1">
      <c r="A18" s="548" t="str">
        <f>'Plur. Gen. C.'!A62</f>
        <v>Insurances</v>
      </c>
      <c r="B18" s="141">
        <f>'Plur. Gen. C.'!J65</f>
        <v>2000</v>
      </c>
      <c r="C18" s="141">
        <f>'Plur. Gen. C.'!N65</f>
        <v>2000</v>
      </c>
      <c r="D18" s="141">
        <f>'Plur. Gen. C.'!R65</f>
        <v>2000</v>
      </c>
      <c r="E18" s="141">
        <f>'Plur. Gen. C.'!V65</f>
        <v>2000</v>
      </c>
      <c r="F18" s="141">
        <f>'Plur. Gen. C.'!Z65</f>
        <v>2000</v>
      </c>
    </row>
    <row r="19" spans="1:10" ht="16.5" customHeight="1">
      <c r="A19" s="548" t="str">
        <f>'Plur. Gen. C.'!A66</f>
        <v>Consultants</v>
      </c>
      <c r="B19" s="141">
        <f>'Plur. Gen. C.'!J71</f>
        <v>10200</v>
      </c>
      <c r="C19" s="141">
        <f>'Plur. Gen. C.'!N71</f>
        <v>14000</v>
      </c>
      <c r="D19" s="141">
        <f>'Plur. Gen. C.'!R71</f>
        <v>17000</v>
      </c>
      <c r="E19" s="141">
        <f>'Plur. Gen. C.'!V71</f>
        <v>17000</v>
      </c>
      <c r="F19" s="141">
        <f>'Plur. Gen. C.'!Z71</f>
        <v>20400</v>
      </c>
    </row>
    <row r="20" spans="1:10" ht="16.5" customHeight="1">
      <c r="A20" s="548" t="str">
        <f>'Plur. Gen. C.'!A72</f>
        <v>Third party assets</v>
      </c>
      <c r="B20" s="141">
        <f>'Plur. Gen. C.'!J77</f>
        <v>42000</v>
      </c>
      <c r="C20" s="141">
        <f>'Plur. Gen. C.'!N77</f>
        <v>42000</v>
      </c>
      <c r="D20" s="141">
        <f>'Plur. Gen. C.'!R77</f>
        <v>50400</v>
      </c>
      <c r="E20" s="141">
        <f>'Plur. Gen. C.'!V77</f>
        <v>50400</v>
      </c>
      <c r="F20" s="141">
        <f>'Plur. Gen. C.'!Z77</f>
        <v>50400</v>
      </c>
    </row>
    <row r="21" spans="1:10" ht="16.5" customHeight="1">
      <c r="A21" s="548" t="str">
        <f>'Plur. Gen. C.'!A78</f>
        <v>Others general costs</v>
      </c>
      <c r="B21" s="141">
        <f>'Plur. Gen. C.'!J81</f>
        <v>7534.7999999999993</v>
      </c>
      <c r="C21" s="141">
        <f>'Plur. Gen. C.'!N81</f>
        <v>8083.7781818181811</v>
      </c>
      <c r="D21" s="141">
        <f>'Plur. Gen. C.'!R81</f>
        <v>8651.7015709090902</v>
      </c>
      <c r="E21" s="141">
        <f>'Plur. Gen. C.'!V81</f>
        <v>9239.1083842909102</v>
      </c>
      <c r="F21" s="141">
        <f>'Plur. Gen. C.'!Z81</f>
        <v>9846.5507895796381</v>
      </c>
    </row>
    <row r="22" spans="1:10" ht="16.5" customHeight="1">
      <c r="A22" s="543" t="str">
        <f>'Plur. Gen. C.'!A83</f>
        <v>Totale General services</v>
      </c>
      <c r="B22" s="538">
        <f>SUM(B17:B21)</f>
        <v>64734.8</v>
      </c>
      <c r="C22" s="538">
        <f>SUM(C17:C21)</f>
        <v>69083.778181818183</v>
      </c>
      <c r="D22" s="538">
        <f>SUM(D17:D21)</f>
        <v>81051.701570909092</v>
      </c>
      <c r="E22" s="538">
        <f>SUM(E17:E21)</f>
        <v>81639.108384290914</v>
      </c>
      <c r="F22" s="538">
        <f>SUM(F17:F21)</f>
        <v>85646.550789579633</v>
      </c>
    </row>
    <row r="23" spans="1:10" ht="16.5" customHeight="1">
      <c r="A23" s="548" t="str">
        <f>'Plur. Gen. C.'!A86</f>
        <v>Workers</v>
      </c>
      <c r="B23" s="141">
        <f>'Plur. Gen. C.'!J93</f>
        <v>162324.65</v>
      </c>
      <c r="C23" s="141">
        <f>'Plur. Gen. C.'!N93</f>
        <v>178557.11500000005</v>
      </c>
      <c r="D23" s="141">
        <f>'Plur. Gen. C.'!R93</f>
        <v>187484.97074999998</v>
      </c>
      <c r="E23" s="141">
        <f>'Plur. Gen. C.'!V93</f>
        <v>196859.21928750002</v>
      </c>
      <c r="F23" s="141">
        <f>'Plur. Gen. C.'!Z93</f>
        <v>206702.18025187499</v>
      </c>
    </row>
    <row r="24" spans="1:10" ht="16.5" customHeight="1">
      <c r="A24" s="543" t="str">
        <f>'Plur. Gen. C.'!A93</f>
        <v>Totale Employees</v>
      </c>
      <c r="B24" s="538">
        <f>B23</f>
        <v>162324.65</v>
      </c>
      <c r="C24" s="538">
        <f t="shared" ref="C24:F24" si="1">C23</f>
        <v>178557.11500000005</v>
      </c>
      <c r="D24" s="538">
        <f t="shared" si="1"/>
        <v>187484.97074999998</v>
      </c>
      <c r="E24" s="538">
        <f t="shared" si="1"/>
        <v>196859.21928750002</v>
      </c>
      <c r="F24" s="538">
        <f t="shared" si="1"/>
        <v>206702.18025187499</v>
      </c>
    </row>
    <row r="25" spans="1:10" ht="16.5" customHeight="1">
      <c r="A25" s="548"/>
      <c r="B25" s="141"/>
      <c r="C25" s="141"/>
      <c r="D25" s="141"/>
      <c r="E25" s="141"/>
      <c r="F25" s="141"/>
    </row>
    <row r="26" spans="1:10" ht="16.5" customHeight="1">
      <c r="A26" s="153" t="s">
        <v>46</v>
      </c>
      <c r="B26" s="154">
        <f>B7-B11-B16-B22-B24</f>
        <v>249382.04599999989</v>
      </c>
      <c r="C26" s="154">
        <f t="shared" ref="C26:F26" si="2">C7-C11-C16-C22-C24</f>
        <v>265899.03329090896</v>
      </c>
      <c r="D26" s="154">
        <f t="shared" si="2"/>
        <v>280892.67324505444</v>
      </c>
      <c r="E26" s="154">
        <f t="shared" si="2"/>
        <v>311131.92478054948</v>
      </c>
      <c r="F26" s="154">
        <f t="shared" si="2"/>
        <v>338829.51978449116</v>
      </c>
      <c r="H26" s="102"/>
      <c r="I26" s="102"/>
      <c r="J26" s="102"/>
    </row>
    <row r="27" spans="1:10" ht="16.5" customHeight="1">
      <c r="A27" s="2"/>
      <c r="B27" s="141"/>
      <c r="C27" s="141"/>
      <c r="D27" s="141"/>
      <c r="E27" s="141"/>
      <c r="F27" s="141"/>
    </row>
    <row r="28" spans="1:10" ht="16.5" customHeight="1">
      <c r="A28" s="548" t="str">
        <f>'Plur. Gen. C.'!A96</f>
        <v>Amortization</v>
      </c>
      <c r="B28" s="141">
        <f>'Plur. Gen. C.'!J101</f>
        <v>35785.542857142857</v>
      </c>
      <c r="C28" s="141">
        <f>'Plur. Gen. C.'!N101</f>
        <v>35785.542857142857</v>
      </c>
      <c r="D28" s="141">
        <f>'Plur. Gen. C.'!R101</f>
        <v>35785.542857142857</v>
      </c>
      <c r="E28" s="141">
        <f>'Plur. Gen. C.'!V101</f>
        <v>35785.542857142857</v>
      </c>
      <c r="F28" s="141">
        <f>'Plur. Gen. C.'!Z101</f>
        <v>35785.542857142857</v>
      </c>
    </row>
    <row r="29" spans="1:10" ht="16.5" customHeight="1">
      <c r="A29" s="548" t="str">
        <f>'Plur. Gen. C.'!A102</f>
        <v>Depreciation</v>
      </c>
      <c r="B29" s="141">
        <f>'Plur. Gen. C.'!J105</f>
        <v>0</v>
      </c>
      <c r="C29" s="141">
        <f>'Plur. Gen. C.'!N105</f>
        <v>0</v>
      </c>
      <c r="D29" s="141">
        <f>'Plur. Gen. C.'!R105</f>
        <v>0</v>
      </c>
      <c r="E29" s="141">
        <f>'Plur. Gen. C.'!V105</f>
        <v>0</v>
      </c>
      <c r="F29" s="141">
        <f>'Plur. Gen. C.'!Z105</f>
        <v>0</v>
      </c>
    </row>
    <row r="30" spans="1:10" ht="16.5" customHeight="1">
      <c r="A30" s="543" t="str">
        <f>'Plur. Gen. C.'!A107</f>
        <v>Totale Depreciation and amortization</v>
      </c>
      <c r="B30" s="538">
        <f>B28+B29</f>
        <v>35785.542857142857</v>
      </c>
      <c r="C30" s="538">
        <f t="shared" ref="C30:F30" si="3">C28+C29</f>
        <v>35785.542857142857</v>
      </c>
      <c r="D30" s="538">
        <f t="shared" si="3"/>
        <v>35785.542857142857</v>
      </c>
      <c r="E30" s="538">
        <f t="shared" si="3"/>
        <v>35785.542857142857</v>
      </c>
      <c r="F30" s="538">
        <f t="shared" si="3"/>
        <v>35785.542857142857</v>
      </c>
    </row>
    <row r="31" spans="1:10" ht="16.5" customHeight="1">
      <c r="A31" s="548" t="str">
        <f>'Plur. Gen. C.'!A110</f>
        <v>Financials and taxation</v>
      </c>
      <c r="B31" s="141">
        <f>'Plur. Gen. C.'!J118</f>
        <v>66220.573897402544</v>
      </c>
      <c r="C31" s="141">
        <f>'Plur. Gen. C.'!N118</f>
        <v>71332.266111038945</v>
      </c>
      <c r="D31" s="141">
        <f>'Plur. Gen. C.'!R118</f>
        <v>75992.361315518938</v>
      </c>
      <c r="E31" s="141">
        <f>'Plur. Gen. C.'!V118</f>
        <v>85231.700835540862</v>
      </c>
      <c r="F31" s="141">
        <f>'Plur. Gen. C.'!Z118</f>
        <v>93714.261869592126</v>
      </c>
    </row>
    <row r="32" spans="1:10" ht="16.5" customHeight="1">
      <c r="A32" s="543" t="str">
        <f>'Plur. Gen. C.'!A120</f>
        <v>Totale Financials and taxation</v>
      </c>
      <c r="B32" s="538">
        <f>B31</f>
        <v>66220.573897402544</v>
      </c>
      <c r="C32" s="538">
        <f t="shared" ref="C32:F32" si="4">C31</f>
        <v>71332.266111038945</v>
      </c>
      <c r="D32" s="538">
        <f t="shared" si="4"/>
        <v>75992.361315518938</v>
      </c>
      <c r="E32" s="538">
        <f t="shared" si="4"/>
        <v>85231.700835540862</v>
      </c>
      <c r="F32" s="538">
        <f t="shared" si="4"/>
        <v>93714.261869592126</v>
      </c>
    </row>
    <row r="33" spans="1:6" ht="16.5" customHeight="1">
      <c r="A33" s="548"/>
      <c r="B33" s="152"/>
      <c r="C33" s="152"/>
      <c r="D33" s="152"/>
      <c r="E33" s="152"/>
      <c r="F33" s="152"/>
    </row>
    <row r="34" spans="1:6" ht="16.5" customHeight="1">
      <c r="A34" s="543" t="str">
        <f>"Costs "&amp;'Plur. Gen. C.'!A122</f>
        <v>Costs Total</v>
      </c>
      <c r="B34" s="538">
        <f>B11+B16+B22+B24+B30+B32</f>
        <v>606104.07075454539</v>
      </c>
      <c r="C34" s="538">
        <f t="shared" ref="C34:F34" si="5">C11+C16+C22+C24+C30+C32</f>
        <v>649596.59385909105</v>
      </c>
      <c r="D34" s="538">
        <f t="shared" si="5"/>
        <v>696055.38801851636</v>
      </c>
      <c r="E34" s="538">
        <f t="shared" si="5"/>
        <v>733796.15734122531</v>
      </c>
      <c r="F34" s="538">
        <f t="shared" si="5"/>
        <v>775325.36390020757</v>
      </c>
    </row>
    <row r="35" spans="1:6" ht="16.5" customHeight="1">
      <c r="A35" s="119"/>
      <c r="B35" s="150"/>
      <c r="C35" s="150"/>
      <c r="D35" s="150"/>
      <c r="E35" s="150"/>
      <c r="F35" s="150"/>
    </row>
    <row r="36" spans="1:6" ht="16.5" customHeight="1">
      <c r="A36" s="153" t="s">
        <v>292</v>
      </c>
      <c r="B36" s="154">
        <f>B7-B34</f>
        <v>147375.92924545449</v>
      </c>
      <c r="C36" s="154">
        <f>C7-C34</f>
        <v>158781.22432272707</v>
      </c>
      <c r="D36" s="154">
        <f>D7-D34</f>
        <v>169114.76907239261</v>
      </c>
      <c r="E36" s="154">
        <f>E7-E34</f>
        <v>190114.68108786561</v>
      </c>
      <c r="F36" s="154">
        <f>F7-F34</f>
        <v>209329.71505775617</v>
      </c>
    </row>
    <row r="37" spans="1:6">
      <c r="B37" s="102"/>
      <c r="C37" s="102"/>
      <c r="D37" s="102"/>
      <c r="E37" s="102"/>
      <c r="F37" s="102"/>
    </row>
  </sheetData>
  <sheetProtection algorithmName="SHA-512" hashValue="3H9FtFLi4gxaHLea2/cQ5PTWuij0NqcXZrRLXY1MFvjlUeACugMHn62YmdjWPt5/wxeqnz1V69pg5TvG2chBOg==" saltValue="XWvJHJh17KsplZVtdxKH5A==" spinCount="100000" sheet="1" objects="1" scenarios="1" selectLockedCells="1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79" fitToHeight="10" orientation="landscape" horizontalDpi="4294967292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7">
    <pageSetUpPr fitToPage="1"/>
  </sheetPr>
  <dimension ref="A1:P86"/>
  <sheetViews>
    <sheetView workbookViewId="0">
      <selection activeCell="D14" sqref="D14"/>
    </sheetView>
  </sheetViews>
  <sheetFormatPr defaultColWidth="9" defaultRowHeight="10.5" outlineLevelRow="2"/>
  <cols>
    <col min="1" max="1" width="5.28515625" style="103" bestFit="1" customWidth="1"/>
    <col min="2" max="2" width="67.28515625" style="3" bestFit="1" customWidth="1"/>
    <col min="3" max="3" width="19.42578125" style="2" customWidth="1"/>
    <col min="4" max="7" width="19.42578125" style="3" customWidth="1"/>
    <col min="8" max="8" width="12.42578125" style="3" bestFit="1" customWidth="1"/>
    <col min="9" max="10" width="10.7109375" style="3" bestFit="1" customWidth="1"/>
    <col min="11" max="16384" width="9" style="3"/>
  </cols>
  <sheetData>
    <row r="1" spans="1:16" customFormat="1" ht="30" customHeight="1">
      <c r="A1" s="550" t="str">
        <f>Menù!D3</f>
        <v>Trovato 1929</v>
      </c>
      <c r="B1" s="550"/>
      <c r="C1" s="550"/>
      <c r="D1" s="550"/>
      <c r="E1" s="550"/>
      <c r="F1" s="550"/>
      <c r="G1" s="550"/>
    </row>
    <row r="2" spans="1:16" customFormat="1" ht="43.5" customHeight="1">
      <c r="A2" s="555" t="str">
        <f>Menù!A2</f>
        <v>Budget e Business Plan</v>
      </c>
      <c r="B2" s="555"/>
      <c r="C2" s="555"/>
      <c r="D2" s="555"/>
      <c r="E2" s="555"/>
      <c r="F2" s="555"/>
      <c r="G2" s="555"/>
    </row>
    <row r="3" spans="1:16" customFormat="1" ht="15" customHeight="1">
      <c r="A3" s="584" t="s">
        <v>295</v>
      </c>
      <c r="B3" s="584"/>
      <c r="C3" s="584"/>
      <c r="D3" s="584"/>
      <c r="E3" s="584"/>
      <c r="F3" s="584"/>
      <c r="G3" s="584"/>
    </row>
    <row r="4" spans="1:16" customFormat="1" ht="10.5" customHeight="1">
      <c r="A4" s="108"/>
      <c r="B4" s="534"/>
      <c r="C4" s="534"/>
      <c r="D4" s="534"/>
      <c r="E4" s="534"/>
      <c r="F4" s="534"/>
      <c r="G4" s="534"/>
    </row>
    <row r="5" spans="1:16" customFormat="1" ht="16.5" customHeight="1" thickBot="1">
      <c r="A5" s="70" t="s">
        <v>296</v>
      </c>
      <c r="B5" s="70" t="s">
        <v>297</v>
      </c>
      <c r="C5" s="70">
        <f>Menù!K3</f>
        <v>2025</v>
      </c>
      <c r="D5" s="70">
        <f>C5+1</f>
        <v>2026</v>
      </c>
      <c r="E5" s="70">
        <f>D5+1</f>
        <v>2027</v>
      </c>
      <c r="F5" s="70">
        <f>E5+1</f>
        <v>2028</v>
      </c>
      <c r="G5" s="70">
        <f>F5+1</f>
        <v>2029</v>
      </c>
    </row>
    <row r="6" spans="1:16" ht="15" customHeight="1" thickTop="1">
      <c r="A6" s="2" t="s">
        <v>122</v>
      </c>
      <c r="B6" s="55" t="s">
        <v>298</v>
      </c>
      <c r="C6" s="64">
        <f>SUM(C7:C11)</f>
        <v>753479.99999999988</v>
      </c>
      <c r="D6" s="64">
        <f>SUM(D7:D11)</f>
        <v>808377.81818181812</v>
      </c>
      <c r="E6" s="64">
        <f>SUM(E7:E11)</f>
        <v>865170.15709090896</v>
      </c>
      <c r="F6" s="64">
        <f>SUM(F7:F11)</f>
        <v>923910.83842909092</v>
      </c>
      <c r="G6" s="64">
        <f>SUM(G7:G11)</f>
        <v>984655.07895796373</v>
      </c>
      <c r="H6" s="4"/>
      <c r="I6" s="4"/>
      <c r="J6" s="4"/>
      <c r="K6" s="4"/>
      <c r="L6" s="4"/>
      <c r="M6" s="4"/>
      <c r="N6" s="4"/>
      <c r="O6" s="4"/>
      <c r="P6" s="4"/>
    </row>
    <row r="7" spans="1:16" ht="15" customHeight="1" outlineLevel="1">
      <c r="A7" s="2">
        <v>1</v>
      </c>
      <c r="B7" s="67" t="s">
        <v>299</v>
      </c>
      <c r="C7" s="68">
        <f>'W Plur.'!B119</f>
        <v>753479.99999999988</v>
      </c>
      <c r="D7" s="68">
        <f>'W Plur.'!C119</f>
        <v>808377.81818181812</v>
      </c>
      <c r="E7" s="68">
        <f>'W Plur.'!D119</f>
        <v>865170.15709090896</v>
      </c>
      <c r="F7" s="68">
        <f>'W Plur.'!E119</f>
        <v>923910.83842909092</v>
      </c>
      <c r="G7" s="68">
        <f>'W Plur.'!F119</f>
        <v>984655.07895796373</v>
      </c>
      <c r="H7" s="4"/>
    </row>
    <row r="8" spans="1:16" ht="15" customHeight="1" outlineLevel="1">
      <c r="A8" s="2">
        <v>2</v>
      </c>
      <c r="B8" s="67" t="s">
        <v>300</v>
      </c>
      <c r="C8" s="68">
        <v>0</v>
      </c>
      <c r="D8" s="68">
        <v>0</v>
      </c>
      <c r="E8" s="68">
        <v>0</v>
      </c>
      <c r="F8" s="68">
        <v>0</v>
      </c>
      <c r="G8" s="68">
        <v>0</v>
      </c>
      <c r="H8" s="4"/>
    </row>
    <row r="9" spans="1:16" ht="15" customHeight="1" outlineLevel="1">
      <c r="A9" s="2">
        <v>3</v>
      </c>
      <c r="B9" s="67" t="s">
        <v>301</v>
      </c>
      <c r="C9" s="68">
        <v>0</v>
      </c>
      <c r="D9" s="68">
        <v>0</v>
      </c>
      <c r="E9" s="68">
        <v>0</v>
      </c>
      <c r="F9" s="68">
        <v>0</v>
      </c>
      <c r="G9" s="68">
        <v>0</v>
      </c>
      <c r="H9" s="4"/>
    </row>
    <row r="10" spans="1:16" ht="15" customHeight="1" outlineLevel="1">
      <c r="A10" s="2">
        <v>4</v>
      </c>
      <c r="B10" s="67" t="s">
        <v>302</v>
      </c>
      <c r="C10" s="68">
        <v>0</v>
      </c>
      <c r="D10" s="68">
        <v>0</v>
      </c>
      <c r="E10" s="68">
        <v>0</v>
      </c>
      <c r="F10" s="68">
        <v>0</v>
      </c>
      <c r="G10" s="68">
        <v>0</v>
      </c>
      <c r="H10" s="4"/>
    </row>
    <row r="11" spans="1:16" ht="15" customHeight="1" outlineLevel="1">
      <c r="A11" s="2">
        <v>5</v>
      </c>
      <c r="B11" s="130" t="s">
        <v>303</v>
      </c>
      <c r="C11" s="69">
        <f>C12+C13</f>
        <v>0</v>
      </c>
      <c r="D11" s="69">
        <f>D12+D13</f>
        <v>0</v>
      </c>
      <c r="E11" s="69">
        <f>E12+E13</f>
        <v>0</v>
      </c>
      <c r="F11" s="69">
        <f>F12+F13</f>
        <v>0</v>
      </c>
      <c r="G11" s="69">
        <f>G12+G13</f>
        <v>0</v>
      </c>
      <c r="H11" s="4"/>
    </row>
    <row r="12" spans="1:16" ht="15" customHeight="1" outlineLevel="1">
      <c r="A12" s="2" t="s">
        <v>304</v>
      </c>
      <c r="B12" s="67" t="s">
        <v>305</v>
      </c>
      <c r="C12" s="68">
        <v>0</v>
      </c>
      <c r="D12" s="68">
        <v>0</v>
      </c>
      <c r="E12" s="68">
        <v>0</v>
      </c>
      <c r="F12" s="68">
        <v>0</v>
      </c>
      <c r="G12" s="68">
        <v>0</v>
      </c>
      <c r="H12" s="4"/>
    </row>
    <row r="13" spans="1:16" ht="15" customHeight="1" outlineLevel="1">
      <c r="A13" s="2" t="s">
        <v>306</v>
      </c>
      <c r="B13" s="67" t="s">
        <v>307</v>
      </c>
      <c r="C13" s="68">
        <f>Riclassificato!B11</f>
        <v>0</v>
      </c>
      <c r="D13" s="68">
        <f>Riclassificato!D11</f>
        <v>0</v>
      </c>
      <c r="E13" s="68">
        <f>Riclassificato!E11</f>
        <v>0</v>
      </c>
      <c r="F13" s="68">
        <f>Riclassificato!F11</f>
        <v>0</v>
      </c>
      <c r="G13" s="68">
        <f>Riclassificato!G11</f>
        <v>0</v>
      </c>
      <c r="H13" s="4"/>
    </row>
    <row r="14" spans="1:16" ht="15" customHeight="1">
      <c r="A14" s="2" t="s">
        <v>308</v>
      </c>
      <c r="B14" s="55" t="s">
        <v>309</v>
      </c>
      <c r="C14" s="64">
        <f>SUM(C15:C18)+C24+C30+C31+C32+C29</f>
        <v>539883.49685714289</v>
      </c>
      <c r="D14" s="64">
        <f>SUM(D15:D18)+D24+D30+D31+D32+D29</f>
        <v>578264.32774805196</v>
      </c>
      <c r="E14" s="64">
        <f t="shared" ref="E14:F14" si="0">SUM(E15:E18)+E24+E30+E31+E32+E29</f>
        <v>620063.02670299739</v>
      </c>
      <c r="F14" s="64">
        <f t="shared" si="0"/>
        <v>648564.45650568441</v>
      </c>
      <c r="G14" s="64">
        <f>SUM(G15:G18)+G24+G30+G31+G32+G29</f>
        <v>681611.10203061544</v>
      </c>
      <c r="H14" s="4"/>
    </row>
    <row r="15" spans="1:16" ht="15" customHeight="1" outlineLevel="1">
      <c r="A15" s="2">
        <v>6</v>
      </c>
      <c r="B15" s="67" t="s">
        <v>310</v>
      </c>
      <c r="C15" s="42">
        <f>SUMIF('Plur. Gen. C.'!D:D,'C.E.'!A15,'Plur. Gen. C.'!J:J)</f>
        <v>210974.4</v>
      </c>
      <c r="D15" s="42">
        <f>SUMIF('Plur. Gen. C.'!D:D,'C.E.'!A15,'Plur. Gen. C.'!N:N)</f>
        <v>226345.78909090909</v>
      </c>
      <c r="E15" s="42">
        <f>SUMIF('Plur. Gen. C.'!D:D,'C.E.'!A15,'Plur. Gen. C.'!R:R)</f>
        <v>242247.64398545455</v>
      </c>
      <c r="F15" s="42">
        <f>SUMIF('Plur. Gen. C.'!D:D,'C.E.'!A15,'Plur. Gen. C.'!V:V)</f>
        <v>258695.03476014547</v>
      </c>
      <c r="G15" s="42">
        <f>SUMIF('Plur. Gen. C.'!D:D,'C.E.'!A15,'Plur. Gen. C.'!Z:Z)</f>
        <v>275703.42210822989</v>
      </c>
    </row>
    <row r="16" spans="1:16" ht="15" customHeight="1" outlineLevel="1">
      <c r="A16" s="2">
        <v>7</v>
      </c>
      <c r="B16" s="67" t="s">
        <v>311</v>
      </c>
      <c r="C16" s="42">
        <f>SUMIF('Plur. Gen. C.'!D:D,'C.E.'!A16,'Plur. Gen. C.'!J:J)</f>
        <v>81264.103999999992</v>
      </c>
      <c r="D16" s="42">
        <f>SUMIF('Plur. Gen. C.'!D:D,'C.E.'!A16,'Plur. Gen. C.'!N:N)</f>
        <v>87492.102618181816</v>
      </c>
      <c r="E16" s="42">
        <f>SUMIF('Plur. Gen. C.'!D:D,'C.E.'!A16,'Plur. Gen. C.'!R:R)</f>
        <v>95493.167539490911</v>
      </c>
      <c r="F16" s="42">
        <f>SUMIF('Plur. Gen. C.'!D:D,'C.E.'!A16,'Plur. Gen. C.'!V:V)</f>
        <v>97585.55121660509</v>
      </c>
      <c r="G16" s="42">
        <f>SUMIF('Plur. Gen. C.'!D:D,'C.E.'!A16,'Plur. Gen. C.'!Z:Z)</f>
        <v>103173.40602378805</v>
      </c>
    </row>
    <row r="17" spans="1:8" ht="15" customHeight="1" outlineLevel="1">
      <c r="A17" s="2">
        <v>8</v>
      </c>
      <c r="B17" s="67" t="s">
        <v>312</v>
      </c>
      <c r="C17" s="42">
        <f>SUMIF('Plur. Gen. C.'!D:D,'C.E.'!A17,'Plur. Gen. C.'!J:J)</f>
        <v>42000</v>
      </c>
      <c r="D17" s="42">
        <f>SUMIF('Plur. Gen. C.'!D:D,'C.E.'!A17,'Plur. Gen. C.'!N:N)</f>
        <v>42000</v>
      </c>
      <c r="E17" s="42">
        <f>SUMIF('Plur. Gen. C.'!D:D,'C.E.'!A17,'Plur. Gen. C.'!R:R)</f>
        <v>50400</v>
      </c>
      <c r="F17" s="42">
        <f>SUMIF('Plur. Gen. C.'!D:D,'C.E.'!A17,'Plur. Gen. C.'!V:V)</f>
        <v>50400</v>
      </c>
      <c r="G17" s="42">
        <f>SUMIF('Plur. Gen. C.'!D:D,'C.E.'!A17,'Plur. Gen. C.'!Z:Z)</f>
        <v>50400</v>
      </c>
    </row>
    <row r="18" spans="1:8" ht="15" customHeight="1" outlineLevel="1">
      <c r="A18" s="2">
        <v>9</v>
      </c>
      <c r="B18" s="130" t="s">
        <v>313</v>
      </c>
      <c r="C18" s="69">
        <f>SUM(C19:C23)</f>
        <v>162324.65</v>
      </c>
      <c r="D18" s="69">
        <f>SUM(D19:D23)</f>
        <v>178557.11500000002</v>
      </c>
      <c r="E18" s="69">
        <f>SUM(E19:E23)</f>
        <v>187484.97075000001</v>
      </c>
      <c r="F18" s="69">
        <f>SUM(F19:F23)</f>
        <v>196859.21928750002</v>
      </c>
      <c r="G18" s="69">
        <f>SUM(G19:G23)</f>
        <v>206702.18025187502</v>
      </c>
      <c r="H18" s="4"/>
    </row>
    <row r="19" spans="1:8" ht="15" customHeight="1" outlineLevel="2">
      <c r="A19" s="2" t="s">
        <v>253</v>
      </c>
      <c r="B19" s="67" t="s">
        <v>314</v>
      </c>
      <c r="C19" s="42">
        <f>SUMIF('Plur. Gen. C.'!D:D,'C.E.'!A19,'Plur. Gen. C.'!J:J)</f>
        <v>113627.25499999999</v>
      </c>
      <c r="D19" s="42">
        <f>SUMIF('Plur. Gen. C.'!D:D,'C.E.'!A19,'Plur. Gen. C.'!N:N)</f>
        <v>124989.98050000002</v>
      </c>
      <c r="E19" s="42">
        <f>SUMIF('Plur. Gen. C.'!D:D,'C.E.'!A19,'Plur. Gen. C.'!R:R)</f>
        <v>131239.479525</v>
      </c>
      <c r="F19" s="42">
        <f>SUMIF('Plur. Gen. C.'!D:D,'C.E.'!A19,'Plur. Gen. C.'!V:V)</f>
        <v>137801.45350125001</v>
      </c>
      <c r="G19" s="42">
        <f>SUMIF('Plur. Gen. C.'!D:D,'C.E.'!A19,'Plur. Gen. C.'!Z:Z)</f>
        <v>144691.5261763125</v>
      </c>
    </row>
    <row r="20" spans="1:8" ht="15" customHeight="1" outlineLevel="2">
      <c r="A20" s="2" t="s">
        <v>255</v>
      </c>
      <c r="B20" s="67" t="s">
        <v>315</v>
      </c>
      <c r="C20" s="42">
        <f>SUMIF('Plur. Gen. C.'!D:D,'C.E.'!A20,'Plur. Gen. C.'!J:J)</f>
        <v>32464.93</v>
      </c>
      <c r="D20" s="42">
        <f>SUMIF('Plur. Gen. C.'!D:D,'C.E.'!A20,'Plur. Gen. C.'!N:N)</f>
        <v>35711.42300000001</v>
      </c>
      <c r="E20" s="42">
        <f>SUMIF('Plur. Gen. C.'!D:D,'C.E.'!A20,'Plur. Gen. C.'!R:R)</f>
        <v>37496.994150000006</v>
      </c>
      <c r="F20" s="42">
        <f>SUMIF('Plur. Gen. C.'!D:D,'C.E.'!A20,'Plur. Gen. C.'!V:V)</f>
        <v>39371.843857500011</v>
      </c>
      <c r="G20" s="42">
        <f>SUMIF('Plur. Gen. C.'!D:D,'C.E.'!A20,'Plur. Gen. C.'!Z:Z)</f>
        <v>41340.436050375007</v>
      </c>
    </row>
    <row r="21" spans="1:8" ht="15" customHeight="1" outlineLevel="2">
      <c r="A21" s="2" t="s">
        <v>257</v>
      </c>
      <c r="B21" s="67" t="s">
        <v>316</v>
      </c>
      <c r="C21" s="42">
        <f>SUMIF('Plur. Gen. C.'!D:D,'C.E.'!A21,'Plur. Gen. C.'!J:J)</f>
        <v>16232.465</v>
      </c>
      <c r="D21" s="42">
        <f>SUMIF('Plur. Gen. C.'!D:D,'C.E.'!A21,'Plur. Gen. C.'!N:N)</f>
        <v>17855.711500000005</v>
      </c>
      <c r="E21" s="42">
        <f>SUMIF('Plur. Gen. C.'!D:D,'C.E.'!A21,'Plur. Gen. C.'!R:R)</f>
        <v>18748.497075000003</v>
      </c>
      <c r="F21" s="42">
        <f>SUMIF('Plur. Gen. C.'!D:D,'C.E.'!A21,'Plur. Gen. C.'!V:V)</f>
        <v>19685.921928750005</v>
      </c>
      <c r="G21" s="42">
        <f>SUMIF('Plur. Gen. C.'!D:D,'C.E.'!A21,'Plur. Gen. C.'!Z:Z)</f>
        <v>20670.218025187503</v>
      </c>
    </row>
    <row r="22" spans="1:8" ht="15" customHeight="1" outlineLevel="2">
      <c r="A22" s="2" t="s">
        <v>317</v>
      </c>
      <c r="B22" s="67" t="s">
        <v>318</v>
      </c>
      <c r="C22" s="42">
        <f>SUMIF('Plur. Gen. C.'!D:D,'C.E.'!A22,'Plur. Gen. C.'!J:J)</f>
        <v>0</v>
      </c>
      <c r="D22" s="42">
        <f>SUMIF('Plur. Gen. C.'!D:D,'C.E.'!A22,'Plur. Gen. C.'!N:N)</f>
        <v>0</v>
      </c>
      <c r="E22" s="42">
        <f>SUMIF('Plur. Gen. C.'!D:D,'C.E.'!A22,'Plur. Gen. C.'!R:R)</f>
        <v>0</v>
      </c>
      <c r="F22" s="42">
        <f>SUMIF('Plur. Gen. C.'!D:D,'C.E.'!A22,'Plur. Gen. C.'!V:V)</f>
        <v>0</v>
      </c>
      <c r="G22" s="42">
        <f>SUMIF('Plur. Gen. C.'!D:D,'C.E.'!A22,'Plur. Gen. C.'!Z:Z)</f>
        <v>0</v>
      </c>
    </row>
    <row r="23" spans="1:8" ht="15" customHeight="1" outlineLevel="2">
      <c r="A23" s="2" t="s">
        <v>319</v>
      </c>
      <c r="B23" s="67" t="s">
        <v>320</v>
      </c>
      <c r="C23" s="42">
        <f>SUMIF('Plur. Gen. C.'!D:D,'C.E.'!A23,'Plur. Gen. C.'!J:J)</f>
        <v>0</v>
      </c>
      <c r="D23" s="42">
        <f>SUMIF('Plur. Gen. C.'!D:D,'C.E.'!A23,'Plur. Gen. C.'!N:N)</f>
        <v>0</v>
      </c>
      <c r="E23" s="42">
        <f>SUMIF('Plur. Gen. C.'!D:D,'C.E.'!A23,'Plur. Gen. C.'!R:R)</f>
        <v>0</v>
      </c>
      <c r="F23" s="42">
        <f>SUMIF('Plur. Gen. C.'!D:D,'C.E.'!A23,'Plur. Gen. C.'!V:V)</f>
        <v>0</v>
      </c>
      <c r="G23" s="42">
        <f>SUMIF('Plur. Gen. C.'!D:D,'C.E.'!A23,'Plur. Gen. C.'!Z:Z)</f>
        <v>0</v>
      </c>
    </row>
    <row r="24" spans="1:8" ht="15" customHeight="1" outlineLevel="1">
      <c r="A24" s="2">
        <v>10</v>
      </c>
      <c r="B24" s="130" t="s">
        <v>321</v>
      </c>
      <c r="C24" s="69">
        <f>C25+C26+C27+C28</f>
        <v>35785.542857142857</v>
      </c>
      <c r="D24" s="69">
        <f>D25+D26+D27+D28</f>
        <v>35785.542857142857</v>
      </c>
      <c r="E24" s="69">
        <f>E25+E26+E27+E28</f>
        <v>35785.542857142857</v>
      </c>
      <c r="F24" s="69">
        <f>F25+F26+F27+F28</f>
        <v>35785.542857142857</v>
      </c>
      <c r="G24" s="69">
        <f>G25+G26+G27+G28</f>
        <v>35785.542857142857</v>
      </c>
      <c r="H24" s="4"/>
    </row>
    <row r="25" spans="1:8" ht="15" customHeight="1" outlineLevel="2">
      <c r="A25" s="2" t="s">
        <v>259</v>
      </c>
      <c r="B25" s="67" t="s">
        <v>322</v>
      </c>
      <c r="C25" s="42">
        <f>SUMIF('Plur. Gen. C.'!D:D,'C.E.'!A25,'Plur. Gen. C.'!J:J)</f>
        <v>35785.542857142857</v>
      </c>
      <c r="D25" s="42">
        <f>SUMIF('Plur. Gen. C.'!D:D,'C.E.'!A25,'Plur. Gen. C.'!N:N)</f>
        <v>35785.542857142857</v>
      </c>
      <c r="E25" s="42">
        <f>SUMIF('Plur. Gen. C.'!D:D,'C.E.'!A25,'Plur. Gen. C.'!R:R)</f>
        <v>35785.542857142857</v>
      </c>
      <c r="F25" s="42">
        <f>SUMIF('Plur. Gen. C.'!D:D,'C.E.'!A25,'Plur. Gen. C.'!V:V)</f>
        <v>35785.542857142857</v>
      </c>
      <c r="G25" s="42">
        <f>SUMIF('Plur. Gen. C.'!D:D,'C.E.'!A25,'Plur. Gen. C.'!Z:Z)</f>
        <v>35785.542857142857</v>
      </c>
    </row>
    <row r="26" spans="1:8" ht="15" customHeight="1" outlineLevel="2">
      <c r="A26" s="2" t="s">
        <v>261</v>
      </c>
      <c r="B26" s="67" t="s">
        <v>323</v>
      </c>
      <c r="C26" s="42">
        <f>SUMIF('Plur. Gen. C.'!D:D,'C.E.'!A26,'Plur. Gen. C.'!J:J)</f>
        <v>0</v>
      </c>
      <c r="D26" s="42">
        <f>SUMIF('Plur. Gen. C.'!D:D,'C.E.'!A26,'Plur. Gen. C.'!N:N)</f>
        <v>0</v>
      </c>
      <c r="E26" s="42">
        <f>SUMIF('Plur. Gen. C.'!D:D,'C.E.'!A26,'Plur. Gen. C.'!R:R)</f>
        <v>0</v>
      </c>
      <c r="F26" s="42">
        <f>SUMIF('Plur. Gen. C.'!D:D,'C.E.'!A26,'Plur. Gen. C.'!V:V)</f>
        <v>0</v>
      </c>
      <c r="G26" s="42">
        <f>SUMIF('Plur. Gen. C.'!D:D,'C.E.'!A26,'Plur. Gen. C.'!Z:Z)</f>
        <v>0</v>
      </c>
    </row>
    <row r="27" spans="1:8" ht="15" customHeight="1" outlineLevel="2">
      <c r="A27" s="2" t="s">
        <v>265</v>
      </c>
      <c r="B27" s="67" t="s">
        <v>324</v>
      </c>
      <c r="C27" s="42">
        <f>SUMIF('Plur. Gen. C.'!D:D,'C.E.'!A27,'Plur. Gen. C.'!J:J)</f>
        <v>0</v>
      </c>
      <c r="D27" s="42">
        <f>SUMIF('Plur. Gen. C.'!D:D,'C.E.'!A27,'Plur. Gen. C.'!N:N)</f>
        <v>0</v>
      </c>
      <c r="E27" s="42">
        <f>SUMIF('Plur. Gen. C.'!D:D,'C.E.'!A27,'Plur. Gen. C.'!R:R)</f>
        <v>0</v>
      </c>
      <c r="F27" s="42">
        <f>SUMIF('Plur. Gen. C.'!D:D,'C.E.'!A27,'Plur. Gen. C.'!V:V)</f>
        <v>0</v>
      </c>
      <c r="G27" s="42">
        <f>SUMIF('Plur. Gen. C.'!D:D,'C.E.'!A27,'Plur. Gen. C.'!Z:Z)</f>
        <v>0</v>
      </c>
    </row>
    <row r="28" spans="1:8" ht="15" customHeight="1" outlineLevel="2">
      <c r="A28" s="2" t="s">
        <v>325</v>
      </c>
      <c r="B28" s="67" t="s">
        <v>326</v>
      </c>
      <c r="C28" s="42">
        <f>SUMIF('Plur. Gen. C.'!D:D,'C.E.'!A28,'Plur. Gen. C.'!J:J)</f>
        <v>0</v>
      </c>
      <c r="D28" s="42">
        <f>SUMIF('Plur. Gen. C.'!D:D,'C.E.'!A28,'Plur. Gen. C.'!N:N)</f>
        <v>0</v>
      </c>
      <c r="E28" s="42">
        <f>SUMIF('Plur. Gen. C.'!D:D,'C.E.'!A28,'Plur. Gen. C.'!R:R)</f>
        <v>0</v>
      </c>
      <c r="F28" s="42">
        <f>SUMIF('Plur. Gen. C.'!D:D,'C.E.'!A28,'Plur. Gen. C.'!V:V)</f>
        <v>0</v>
      </c>
      <c r="G28" s="42">
        <f>SUMIF('Plur. Gen. C.'!D:D,'C.E.'!A28,'Plur. Gen. C.'!Z:Z)</f>
        <v>0</v>
      </c>
    </row>
    <row r="29" spans="1:8" ht="15" customHeight="1" outlineLevel="1">
      <c r="A29" s="2">
        <v>11</v>
      </c>
      <c r="B29" s="67" t="s">
        <v>327</v>
      </c>
      <c r="C29" s="42">
        <f>SUMIF('Plur. Gen. C.'!D:D,'C.E.'!A29,'Plur. Gen. C.'!J:J)</f>
        <v>0</v>
      </c>
      <c r="D29" s="42">
        <f>SUMIF('Plur. Gen. C.'!D:D,'C.E.'!A29,'Plur. Gen. C.'!N:N)</f>
        <v>0</v>
      </c>
      <c r="E29" s="42">
        <f>SUMIF('Plur. Gen. C.'!D:D,'C.E.'!A29,'Plur. Gen. C.'!R:R)</f>
        <v>0</v>
      </c>
      <c r="F29" s="42">
        <f>SUMIF('Plur. Gen. C.'!D:D,'C.E.'!A29,'Plur. Gen. C.'!V:V)</f>
        <v>0</v>
      </c>
      <c r="G29" s="42">
        <f>'Plur. Gen. C.'!Z15-'Plur. Gen. C.'!V15</f>
        <v>0</v>
      </c>
    </row>
    <row r="30" spans="1:8" ht="15" customHeight="1" outlineLevel="1">
      <c r="A30" s="2">
        <v>12</v>
      </c>
      <c r="B30" s="67" t="s">
        <v>328</v>
      </c>
      <c r="C30" s="42">
        <f>SUMIF('Plur. Gen. C.'!D:D,'C.E.'!A30,'Plur. Gen. C.'!J:J)</f>
        <v>0</v>
      </c>
      <c r="D30" s="42">
        <f>SUMIF('Plur. Gen. C.'!D:D,'C.E.'!A30,'Plur. Gen. C.'!N:N)</f>
        <v>0</v>
      </c>
      <c r="E30" s="42">
        <f>SUMIF('Plur. Gen. C.'!D:D,'C.E.'!A30,'Plur. Gen. C.'!R:R)</f>
        <v>0</v>
      </c>
      <c r="F30" s="42">
        <f>SUMIF('Plur. Gen. C.'!D:D,'C.E.'!A30,'Plur. Gen. C.'!V:V)</f>
        <v>0</v>
      </c>
      <c r="G30" s="42">
        <f>SUMIF('Plur. Gen. C.'!D:D,'C.E.'!A30,'Plur. Gen. C.'!Z:Z)</f>
        <v>0</v>
      </c>
    </row>
    <row r="31" spans="1:8" ht="15" customHeight="1" outlineLevel="1">
      <c r="A31" s="2">
        <v>13</v>
      </c>
      <c r="B31" s="67" t="s">
        <v>329</v>
      </c>
      <c r="C31" s="42">
        <f>SUMIF('Plur. Gen. C.'!D:D,'C.E.'!A31,'Plur. Gen. C.'!J:J)</f>
        <v>0</v>
      </c>
      <c r="D31" s="42">
        <f>SUMIF('Plur. Gen. C.'!D:D,'C.E.'!A31,'Plur. Gen. C.'!N:N)</f>
        <v>0</v>
      </c>
      <c r="E31" s="42">
        <f>SUMIF('Plur. Gen. C.'!D:D,'C.E.'!A31,'Plur. Gen. C.'!R:R)</f>
        <v>0</v>
      </c>
      <c r="F31" s="42">
        <f>SUMIF('Plur. Gen. C.'!D:D,'C.E.'!A31,'Plur. Gen. C.'!V:V)</f>
        <v>0</v>
      </c>
      <c r="G31" s="42">
        <f>SUMIF('Plur. Gen. C.'!D:D,'C.E.'!A31,'Plur. Gen. C.'!Z:Z)</f>
        <v>0</v>
      </c>
    </row>
    <row r="32" spans="1:8" ht="15" customHeight="1" outlineLevel="1">
      <c r="A32" s="2">
        <v>14</v>
      </c>
      <c r="B32" s="67" t="s">
        <v>330</v>
      </c>
      <c r="C32" s="42">
        <f>SUMIF('Plur. Gen. C.'!D:D,'C.E.'!A32,'Plur. Gen. C.'!J:J)</f>
        <v>7534.7999999999993</v>
      </c>
      <c r="D32" s="42">
        <f>SUMIF('Plur. Gen. C.'!D:D,'C.E.'!A32,'Plur. Gen. C.'!N:N)</f>
        <v>8083.7781818181811</v>
      </c>
      <c r="E32" s="42">
        <f>SUMIF('Plur. Gen. C.'!D:D,'C.E.'!A32,'Plur. Gen. C.'!R:R)</f>
        <v>8651.7015709090902</v>
      </c>
      <c r="F32" s="42">
        <f>SUMIF('Plur. Gen. C.'!D:D,'C.E.'!A32,'Plur. Gen. C.'!V:V)</f>
        <v>9239.1083842909102</v>
      </c>
      <c r="G32" s="42">
        <f>SUMIF('Plur. Gen. C.'!D:D,'C.E.'!A32,'Plur. Gen. C.'!Z:Z)</f>
        <v>9846.5507895796381</v>
      </c>
    </row>
    <row r="33" spans="1:8" ht="15" customHeight="1">
      <c r="A33" s="2" t="s">
        <v>331</v>
      </c>
      <c r="B33" s="55" t="s">
        <v>332</v>
      </c>
      <c r="C33" s="64">
        <f>C6-C14</f>
        <v>213596.50314285699</v>
      </c>
      <c r="D33" s="64">
        <f>D6-D14</f>
        <v>230113.49043376616</v>
      </c>
      <c r="E33" s="64">
        <f>E6-E14</f>
        <v>245107.13038791157</v>
      </c>
      <c r="F33" s="64">
        <f>F6-F14</f>
        <v>275346.3819234065</v>
      </c>
      <c r="G33" s="64">
        <f>G6-G14</f>
        <v>303043.9769273483</v>
      </c>
      <c r="H33" s="4"/>
    </row>
    <row r="34" spans="1:8" ht="15" customHeight="1">
      <c r="A34" s="2" t="s">
        <v>333</v>
      </c>
      <c r="B34" s="55" t="s">
        <v>334</v>
      </c>
      <c r="C34" s="64">
        <f>C35+C39-C52</f>
        <v>-3059.4613636363638</v>
      </c>
      <c r="D34" s="64">
        <f>D35+D39-D52</f>
        <v>-3283.1699727272726</v>
      </c>
      <c r="E34" s="64">
        <f>E35+E39-E52</f>
        <v>-3514.603141636363</v>
      </c>
      <c r="F34" s="64">
        <f>F35+F39-F52</f>
        <v>-3753.9803693127274</v>
      </c>
      <c r="G34" s="64">
        <f>G35+G39-G52</f>
        <v>-4001.5268448394909</v>
      </c>
      <c r="H34" s="4"/>
    </row>
    <row r="35" spans="1:8" ht="15" customHeight="1" outlineLevel="1">
      <c r="A35" s="2">
        <v>15</v>
      </c>
      <c r="B35" s="130" t="s">
        <v>335</v>
      </c>
      <c r="C35" s="69">
        <f>C36+C37+C38</f>
        <v>0</v>
      </c>
      <c r="D35" s="69">
        <f>D36+D37+D38</f>
        <v>0</v>
      </c>
      <c r="E35" s="69">
        <f>E36+E37+E38</f>
        <v>0</v>
      </c>
      <c r="F35" s="69">
        <f>F36+F37+F38</f>
        <v>0</v>
      </c>
      <c r="G35" s="69">
        <f>G36+G37+G38</f>
        <v>0</v>
      </c>
      <c r="H35" s="4"/>
    </row>
    <row r="36" spans="1:8" ht="15" customHeight="1" outlineLevel="2">
      <c r="A36" s="2" t="s">
        <v>336</v>
      </c>
      <c r="B36" s="67" t="s">
        <v>337</v>
      </c>
      <c r="C36" s="42">
        <f>SUMIF('Plur. Gen. C.'!D:D,'C.E.'!A36,'Plur. Gen. C.'!J:J)</f>
        <v>0</v>
      </c>
      <c r="D36" s="42">
        <f>SUMIF('Plur. Gen. C.'!D:D,'C.E.'!A36,'Plur. Gen. C.'!N:N)</f>
        <v>0</v>
      </c>
      <c r="E36" s="42">
        <f>SUMIF('Plur. Gen. C.'!D:D,'C.E.'!A36,'Plur. Gen. C.'!R:R)</f>
        <v>0</v>
      </c>
      <c r="F36" s="42">
        <f>SUMIF('Plur. Gen. C.'!D:D,'C.E.'!A36,'Plur. Gen. C.'!V:V)</f>
        <v>0</v>
      </c>
      <c r="G36" s="42">
        <f>SUMIF('Plur. Gen. C.'!D:D,'C.E.'!A36,'Plur. Gen. C.'!Z:Z)</f>
        <v>0</v>
      </c>
    </row>
    <row r="37" spans="1:8" ht="15" customHeight="1" outlineLevel="2">
      <c r="A37" s="2" t="s">
        <v>338</v>
      </c>
      <c r="B37" s="67" t="s">
        <v>339</v>
      </c>
      <c r="C37" s="42">
        <f>SUMIF('Plur. Gen. C.'!D:D,'C.E.'!A37,'Plur. Gen. C.'!J:J)</f>
        <v>0</v>
      </c>
      <c r="D37" s="42">
        <f>SUMIF('Plur. Gen. C.'!D:D,'C.E.'!A37,'Plur. Gen. C.'!N:N)</f>
        <v>0</v>
      </c>
      <c r="E37" s="42">
        <f>SUMIF('Plur. Gen. C.'!D:D,'C.E.'!A37,'Plur. Gen. C.'!R:R)</f>
        <v>0</v>
      </c>
      <c r="F37" s="42">
        <f>SUMIF('Plur. Gen. C.'!D:D,'C.E.'!A37,'Plur. Gen. C.'!V:V)</f>
        <v>0</v>
      </c>
      <c r="G37" s="42">
        <f>SUMIF('Plur. Gen. C.'!D:D,'C.E.'!A37,'Plur. Gen. C.'!Z:Z)</f>
        <v>0</v>
      </c>
    </row>
    <row r="38" spans="1:8" ht="15" customHeight="1" outlineLevel="2">
      <c r="A38" s="2" t="s">
        <v>340</v>
      </c>
      <c r="B38" s="67" t="s">
        <v>341</v>
      </c>
      <c r="C38" s="42">
        <f>SUMIF('Plur. Gen. C.'!D:D,'C.E.'!A38,'Plur. Gen. C.'!J:J)</f>
        <v>0</v>
      </c>
      <c r="D38" s="42">
        <f>SUMIF('Plur. Gen. C.'!D:D,'C.E.'!A38,'Plur. Gen. C.'!N:N)</f>
        <v>0</v>
      </c>
      <c r="E38" s="42">
        <f>SUMIF('Plur. Gen. C.'!D:D,'C.E.'!A38,'Plur. Gen. C.'!R:R)</f>
        <v>0</v>
      </c>
      <c r="F38" s="42">
        <f>SUMIF('Plur. Gen. C.'!D:D,'C.E.'!A38,'Plur. Gen. C.'!V:V)</f>
        <v>0</v>
      </c>
      <c r="G38" s="42">
        <f>SUMIF('Plur. Gen. C.'!D:D,'C.E.'!A38,'Plur. Gen. C.'!Z:Z)</f>
        <v>0</v>
      </c>
    </row>
    <row r="39" spans="1:8" ht="15" customHeight="1" outlineLevel="1">
      <c r="A39" s="2">
        <v>16</v>
      </c>
      <c r="B39" s="130" t="s">
        <v>342</v>
      </c>
      <c r="C39" s="69">
        <f>C40+C45+C46+C47</f>
        <v>0</v>
      </c>
      <c r="D39" s="69">
        <f>D40+D45+D46+D47</f>
        <v>0</v>
      </c>
      <c r="E39" s="69">
        <f>E40+E45+E46+E47</f>
        <v>0</v>
      </c>
      <c r="F39" s="69">
        <f>F40+F45+F46+F47</f>
        <v>0</v>
      </c>
      <c r="G39" s="69">
        <f>G40+G45+G46+G47</f>
        <v>0</v>
      </c>
      <c r="H39" s="4"/>
    </row>
    <row r="40" spans="1:8" ht="15" customHeight="1" outlineLevel="2">
      <c r="A40" s="2" t="s">
        <v>343</v>
      </c>
      <c r="B40" s="130" t="s">
        <v>344</v>
      </c>
      <c r="C40" s="69">
        <f>C41+C42+C43+C44</f>
        <v>0</v>
      </c>
      <c r="D40" s="69">
        <f>D41+D42+D43+D44</f>
        <v>0</v>
      </c>
      <c r="E40" s="69">
        <f>E41+E42+E43+E44</f>
        <v>0</v>
      </c>
      <c r="F40" s="69">
        <f>F41+F42+F43+F44</f>
        <v>0</v>
      </c>
      <c r="G40" s="69">
        <f>G41+G42+G43+G44</f>
        <v>0</v>
      </c>
      <c r="H40" s="4"/>
    </row>
    <row r="41" spans="1:8" ht="15" customHeight="1" outlineLevel="2">
      <c r="A41" s="2" t="s">
        <v>345</v>
      </c>
      <c r="B41" s="67" t="s">
        <v>346</v>
      </c>
      <c r="C41" s="42">
        <f>SUMIF('Plur. Gen. C.'!D:D,'C.E.'!A41,'Plur. Gen. C.'!J:J)</f>
        <v>0</v>
      </c>
      <c r="D41" s="42">
        <f>SUMIF('Plur. Gen. C.'!D:D,'C.E.'!A41,'Plur. Gen. C.'!N:N)</f>
        <v>0</v>
      </c>
      <c r="E41" s="42">
        <f>SUMIF('Plur. Gen. C.'!D:D,'C.E.'!A41,'Plur. Gen. C.'!R:R)</f>
        <v>0</v>
      </c>
      <c r="F41" s="42">
        <f>SUMIF('Plur. Gen. C.'!D:D,'C.E.'!A41,'Plur. Gen. C.'!V:V)</f>
        <v>0</v>
      </c>
      <c r="G41" s="42">
        <f>SUMIF('Plur. Gen. C.'!D:D,'C.E.'!A41,'Plur. Gen. C.'!Z:Z)</f>
        <v>0</v>
      </c>
    </row>
    <row r="42" spans="1:8" ht="15" customHeight="1" outlineLevel="2">
      <c r="A42" s="2" t="s">
        <v>347</v>
      </c>
      <c r="B42" s="67" t="s">
        <v>348</v>
      </c>
      <c r="C42" s="42">
        <f>SUMIF('Plur. Gen. C.'!D:D,'C.E.'!A42,'Plur. Gen. C.'!J:J)</f>
        <v>0</v>
      </c>
      <c r="D42" s="42">
        <f>SUMIF('Plur. Gen. C.'!D:D,'C.E.'!A42,'Plur. Gen. C.'!N:N)</f>
        <v>0</v>
      </c>
      <c r="E42" s="42">
        <f>SUMIF('Plur. Gen. C.'!D:D,'C.E.'!A42,'Plur. Gen. C.'!R:R)</f>
        <v>0</v>
      </c>
      <c r="F42" s="42">
        <f>SUMIF('Plur. Gen. C.'!D:D,'C.E.'!A42,'Plur. Gen. C.'!V:V)</f>
        <v>0</v>
      </c>
      <c r="G42" s="42">
        <f>SUMIF('Plur. Gen. C.'!D:D,'C.E.'!A42,'Plur. Gen. C.'!Z:Z)</f>
        <v>0</v>
      </c>
    </row>
    <row r="43" spans="1:8" ht="15" customHeight="1" outlineLevel="2">
      <c r="A43" s="2" t="s">
        <v>349</v>
      </c>
      <c r="B43" s="67" t="s">
        <v>350</v>
      </c>
      <c r="C43" s="42">
        <f>SUMIF('Plur. Gen. C.'!D:D,'C.E.'!A43,'Plur. Gen. C.'!J:J)</f>
        <v>0</v>
      </c>
      <c r="D43" s="42">
        <f>SUMIF('Plur. Gen. C.'!D:D,'C.E.'!A43,'Plur. Gen. C.'!N:N)</f>
        <v>0</v>
      </c>
      <c r="E43" s="42">
        <f>SUMIF('Plur. Gen. C.'!D:D,'C.E.'!A43,'Plur. Gen. C.'!R:R)</f>
        <v>0</v>
      </c>
      <c r="F43" s="42">
        <f>SUMIF('Plur. Gen. C.'!D:D,'C.E.'!A43,'Plur. Gen. C.'!V:V)</f>
        <v>0</v>
      </c>
      <c r="G43" s="42">
        <f>SUMIF('Plur. Gen. C.'!D:D,'C.E.'!A43,'Plur. Gen. C.'!Z:Z)</f>
        <v>0</v>
      </c>
    </row>
    <row r="44" spans="1:8" ht="15" customHeight="1" outlineLevel="2">
      <c r="A44" s="2" t="s">
        <v>351</v>
      </c>
      <c r="B44" s="67" t="s">
        <v>352</v>
      </c>
      <c r="C44" s="42">
        <f>SUMIF('Plur. Gen. C.'!D:D,'C.E.'!A44,'Plur. Gen. C.'!J:J)</f>
        <v>0</v>
      </c>
      <c r="D44" s="42">
        <f>SUMIF('Plur. Gen. C.'!D:D,'C.E.'!A44,'Plur. Gen. C.'!N:N)</f>
        <v>0</v>
      </c>
      <c r="E44" s="42">
        <f>SUMIF('Plur. Gen. C.'!D:D,'C.E.'!A44,'Plur. Gen. C.'!R:R)</f>
        <v>0</v>
      </c>
      <c r="F44" s="42">
        <f>SUMIF('Plur. Gen. C.'!D:D,'C.E.'!A44,'Plur. Gen. C.'!V:V)</f>
        <v>0</v>
      </c>
      <c r="G44" s="42">
        <f>SUMIF('Plur. Gen. C.'!D:D,'C.E.'!A44,'Plur. Gen. C.'!Z:Z)</f>
        <v>0</v>
      </c>
    </row>
    <row r="45" spans="1:8" ht="15" customHeight="1" outlineLevel="2">
      <c r="A45" s="2" t="s">
        <v>353</v>
      </c>
      <c r="B45" s="130" t="s">
        <v>354</v>
      </c>
      <c r="C45" s="64">
        <f>SUMIF('Plur. Gen. C.'!D:D,'C.E.'!A45,'Plur. Gen. C.'!J:J)</f>
        <v>0</v>
      </c>
      <c r="D45" s="64">
        <f>SUMIF('Plur. Gen. C.'!D:D,'C.E.'!A45,'Plur. Gen. C.'!N:N)</f>
        <v>0</v>
      </c>
      <c r="E45" s="64">
        <f>SUMIF('Plur. Gen. C.'!D:D,'C.E.'!A45,'Plur. Gen. C.'!R:R)</f>
        <v>0</v>
      </c>
      <c r="F45" s="64">
        <f>SUMIF('Plur. Gen. C.'!D:D,'C.E.'!A45,'Plur. Gen. C.'!V:V)</f>
        <v>0</v>
      </c>
      <c r="G45" s="64">
        <f>SUMIF('Plur. Gen. C.'!D:D,'C.E.'!A45,'Plur. Gen. C.'!Z:Z)</f>
        <v>0</v>
      </c>
    </row>
    <row r="46" spans="1:8" ht="15" customHeight="1" outlineLevel="2">
      <c r="A46" s="2" t="s">
        <v>355</v>
      </c>
      <c r="B46" s="130" t="s">
        <v>356</v>
      </c>
      <c r="C46" s="64">
        <f>SUMIF('Plur. Gen. C.'!D:D,'C.E.'!A46,'Plur. Gen. C.'!J:J)</f>
        <v>0</v>
      </c>
      <c r="D46" s="64">
        <f>SUMIF('Plur. Gen. C.'!D:D,'C.E.'!A46,'Plur. Gen. C.'!N:N)</f>
        <v>0</v>
      </c>
      <c r="E46" s="64">
        <f>SUMIF('Plur. Gen. C.'!D:D,'C.E.'!A46,'Plur. Gen. C.'!R:R)</f>
        <v>0</v>
      </c>
      <c r="F46" s="64">
        <f>SUMIF('Plur. Gen. C.'!D:D,'C.E.'!A46,'Plur. Gen. C.'!V:V)</f>
        <v>0</v>
      </c>
      <c r="G46" s="64">
        <f>SUMIF('Plur. Gen. C.'!D:D,'C.E.'!A46,'Plur. Gen. C.'!Z:Z)</f>
        <v>0</v>
      </c>
    </row>
    <row r="47" spans="1:8" ht="15" customHeight="1" outlineLevel="2">
      <c r="A47" s="2" t="s">
        <v>357</v>
      </c>
      <c r="B47" s="130" t="s">
        <v>358</v>
      </c>
      <c r="C47" s="69">
        <f>C48+C49+C50+C51</f>
        <v>0</v>
      </c>
      <c r="D47" s="69">
        <f>D48+D49+D50+D51</f>
        <v>0</v>
      </c>
      <c r="E47" s="69">
        <f>E48+E49+E50+E51</f>
        <v>0</v>
      </c>
      <c r="F47" s="69">
        <f>F48+F49+F50+F51</f>
        <v>0</v>
      </c>
      <c r="G47" s="69">
        <f>G48+G49+G50+G51</f>
        <v>0</v>
      </c>
      <c r="H47" s="4"/>
    </row>
    <row r="48" spans="1:8" ht="15" customHeight="1" outlineLevel="2">
      <c r="A48" s="2" t="s">
        <v>359</v>
      </c>
      <c r="B48" s="67" t="s">
        <v>346</v>
      </c>
      <c r="C48" s="42">
        <f>SUMIF('Plur. Gen. C.'!D:D,'C.E.'!A48,'Plur. Gen. C.'!J:J)</f>
        <v>0</v>
      </c>
      <c r="D48" s="42">
        <f>SUMIF('Plur. Gen. C.'!D:D,'C.E.'!A48,'Plur. Gen. C.'!N:N)</f>
        <v>0</v>
      </c>
      <c r="E48" s="42">
        <f>SUMIF('Plur. Gen. C.'!D:D,'C.E.'!A48,'Plur. Gen. C.'!R:R)</f>
        <v>0</v>
      </c>
      <c r="F48" s="42">
        <f>SUMIF('Plur. Gen. C.'!D:D,'C.E.'!A48,'Plur. Gen. C.'!V:V)</f>
        <v>0</v>
      </c>
      <c r="G48" s="42">
        <f>SUMIF('Plur. Gen. C.'!D:D,'C.E.'!A48,'Plur. Gen. C.'!Z:Z)</f>
        <v>0</v>
      </c>
    </row>
    <row r="49" spans="1:8" ht="15" customHeight="1" outlineLevel="2">
      <c r="A49" s="2" t="s">
        <v>360</v>
      </c>
      <c r="B49" s="67" t="s">
        <v>348</v>
      </c>
      <c r="C49" s="42">
        <f>SUMIF('Plur. Gen. C.'!D:D,'C.E.'!A49,'Plur. Gen. C.'!J:J)</f>
        <v>0</v>
      </c>
      <c r="D49" s="42">
        <f>SUMIF('Plur. Gen. C.'!D:D,'C.E.'!A49,'Plur. Gen. C.'!N:N)</f>
        <v>0</v>
      </c>
      <c r="E49" s="42">
        <f>SUMIF('Plur. Gen. C.'!D:D,'C.E.'!A49,'Plur. Gen. C.'!R:R)</f>
        <v>0</v>
      </c>
      <c r="F49" s="42">
        <f>SUMIF('Plur. Gen. C.'!D:D,'C.E.'!A49,'Plur. Gen. C.'!V:V)</f>
        <v>0</v>
      </c>
      <c r="G49" s="42">
        <f>SUMIF('Plur. Gen. C.'!D:D,'C.E.'!A49,'Plur. Gen. C.'!Z:Z)</f>
        <v>0</v>
      </c>
    </row>
    <row r="50" spans="1:8" ht="15" customHeight="1" outlineLevel="2">
      <c r="A50" s="2" t="s">
        <v>361</v>
      </c>
      <c r="B50" s="67" t="s">
        <v>362</v>
      </c>
      <c r="C50" s="42">
        <f>SUMIF('Plur. Gen. C.'!D:D,'C.E.'!A50,'Plur. Gen. C.'!J:J)</f>
        <v>0</v>
      </c>
      <c r="D50" s="42">
        <f>SUMIF('Plur. Gen. C.'!D:D,'C.E.'!A50,'Plur. Gen. C.'!N:N)</f>
        <v>0</v>
      </c>
      <c r="E50" s="42">
        <f>SUMIF('Plur. Gen. C.'!D:D,'C.E.'!A50,'Plur. Gen. C.'!R:R)</f>
        <v>0</v>
      </c>
      <c r="F50" s="42">
        <f>SUMIF('Plur. Gen. C.'!D:D,'C.E.'!A50,'Plur. Gen. C.'!V:V)</f>
        <v>0</v>
      </c>
      <c r="G50" s="42">
        <f>SUMIF('Plur. Gen. C.'!D:D,'C.E.'!A50,'Plur. Gen. C.'!Z:Z)</f>
        <v>0</v>
      </c>
    </row>
    <row r="51" spans="1:8" ht="15" customHeight="1" outlineLevel="2">
      <c r="A51" s="2" t="s">
        <v>363</v>
      </c>
      <c r="B51" s="67" t="s">
        <v>364</v>
      </c>
      <c r="C51" s="42">
        <f>SUMIF('Plur. Gen. C.'!D:D,'C.E.'!A51,'Plur. Gen. C.'!J:J)</f>
        <v>0</v>
      </c>
      <c r="D51" s="42">
        <f>SUMIF('Plur. Gen. C.'!D:D,'C.E.'!A51,'Plur. Gen. C.'!N:N)</f>
        <v>0</v>
      </c>
      <c r="E51" s="42">
        <f>SUMIF('Plur. Gen. C.'!D:D,'C.E.'!A51,'Plur. Gen. C.'!R:R)</f>
        <v>0</v>
      </c>
      <c r="F51" s="42">
        <f>SUMIF('Plur. Gen. C.'!D:D,'C.E.'!A51,'Plur. Gen. C.'!V:V)</f>
        <v>0</v>
      </c>
      <c r="G51" s="42">
        <f>SUMIF('Plur. Gen. C.'!D:D,'C.E.'!A51,'Plur. Gen. C.'!Z:Z)</f>
        <v>0</v>
      </c>
    </row>
    <row r="52" spans="1:8" ht="15" customHeight="1" outlineLevel="1">
      <c r="A52" s="2">
        <v>17</v>
      </c>
      <c r="B52" s="130" t="s">
        <v>365</v>
      </c>
      <c r="C52" s="69">
        <f>SUM(C53:C57)</f>
        <v>3059.4613636363638</v>
      </c>
      <c r="D52" s="69">
        <f>SUM(D53:D57)</f>
        <v>3283.1699727272726</v>
      </c>
      <c r="E52" s="69">
        <f>SUM(E53:E57)</f>
        <v>3514.603141636363</v>
      </c>
      <c r="F52" s="69">
        <f>SUM(F53:F57)</f>
        <v>3753.9803693127274</v>
      </c>
      <c r="G52" s="69">
        <f>SUM(G53:G57)</f>
        <v>4001.5268448394909</v>
      </c>
      <c r="H52" s="4"/>
    </row>
    <row r="53" spans="1:8" ht="15" customHeight="1" outlineLevel="2">
      <c r="A53" s="2" t="s">
        <v>366</v>
      </c>
      <c r="B53" s="67" t="s">
        <v>367</v>
      </c>
      <c r="C53" s="42">
        <f>SUMIF('Plur. Gen. C.'!D:D,'C.E.'!A53,'Plur. Gen. C.'!J:J)</f>
        <v>0</v>
      </c>
      <c r="D53" s="42">
        <f>SUMIF('Plur. Gen. C.'!D:D,'C.E.'!A53,'Plur. Gen. C.'!N:N)</f>
        <v>0</v>
      </c>
      <c r="E53" s="42">
        <f>SUMIF('Plur. Gen. C.'!D:D,'C.E.'!A53,'Plur. Gen. C.'!R:R)</f>
        <v>0</v>
      </c>
      <c r="F53" s="42">
        <f>SUMIF('Plur. Gen. C.'!D:D,'C.E.'!A53,'Plur. Gen. C.'!V:V)</f>
        <v>0</v>
      </c>
      <c r="G53" s="42">
        <f>SUMIF('Plur. Gen. C.'!D:D,'C.E.'!A53,'Plur. Gen. C.'!Z:Z)</f>
        <v>0</v>
      </c>
    </row>
    <row r="54" spans="1:8" ht="15" customHeight="1" outlineLevel="2">
      <c r="A54" s="2" t="s">
        <v>368</v>
      </c>
      <c r="B54" s="67" t="s">
        <v>369</v>
      </c>
      <c r="C54" s="42">
        <f>SUMIF('Plur. Gen. C.'!D:D,'C.E.'!A54,'Plur. Gen. C.'!J:J)</f>
        <v>0</v>
      </c>
      <c r="D54" s="42">
        <f>SUMIF('Plur. Gen. C.'!D:D,'C.E.'!A54,'Plur. Gen. C.'!N:N)</f>
        <v>0</v>
      </c>
      <c r="E54" s="42">
        <f>SUMIF('Plur. Gen. C.'!D:D,'C.E.'!A54,'Plur. Gen. C.'!R:R)</f>
        <v>0</v>
      </c>
      <c r="F54" s="42">
        <f>SUMIF('Plur. Gen. C.'!D:D,'C.E.'!A54,'Plur. Gen. C.'!V:V)</f>
        <v>0</v>
      </c>
      <c r="G54" s="42">
        <f>SUMIF('Plur. Gen. C.'!D:D,'C.E.'!A54,'Plur. Gen. C.'!Z:Z)</f>
        <v>0</v>
      </c>
    </row>
    <row r="55" spans="1:8" ht="15" customHeight="1" outlineLevel="2">
      <c r="A55" s="2" t="s">
        <v>370</v>
      </c>
      <c r="B55" s="67" t="s">
        <v>371</v>
      </c>
      <c r="C55" s="42">
        <f>SUMIF('Plur. Gen. C.'!D:D,'C.E.'!A55,'Plur. Gen. C.'!J:J)</f>
        <v>0</v>
      </c>
      <c r="D55" s="42">
        <f>SUMIF('Plur. Gen. C.'!D:D,'C.E.'!A55,'Plur. Gen. C.'!N:N)</f>
        <v>0</v>
      </c>
      <c r="E55" s="42">
        <f>SUMIF('Plur. Gen. C.'!D:D,'C.E.'!A55,'Plur. Gen. C.'!R:R)</f>
        <v>0</v>
      </c>
      <c r="F55" s="42">
        <f>SUMIF('Plur. Gen. C.'!D:D,'C.E.'!A55,'Plur. Gen. C.'!V:V)</f>
        <v>0</v>
      </c>
      <c r="G55" s="42">
        <f>SUMIF('Plur. Gen. C.'!D:D,'C.E.'!A55,'Plur. Gen. C.'!Z:Z)</f>
        <v>0</v>
      </c>
    </row>
    <row r="56" spans="1:8" ht="15" customHeight="1" outlineLevel="2">
      <c r="A56" s="2" t="s">
        <v>269</v>
      </c>
      <c r="B56" s="67" t="s">
        <v>372</v>
      </c>
      <c r="C56" s="42">
        <f>SUMIF('Plur. Gen. C.'!D:D,'C.E.'!A56,'Plur. Gen. C.'!J:J)</f>
        <v>3059.4613636363638</v>
      </c>
      <c r="D56" s="42">
        <f>SUMIF('Plur. Gen. C.'!D:D,'C.E.'!A56,'Plur. Gen. C.'!N:N)</f>
        <v>3283.1699727272726</v>
      </c>
      <c r="E56" s="42">
        <f>SUMIF('Plur. Gen. C.'!D:D,'C.E.'!A56,'Plur. Gen. C.'!R:R)</f>
        <v>3514.603141636363</v>
      </c>
      <c r="F56" s="42">
        <f>SUMIF('Plur. Gen. C.'!D:D,'C.E.'!A56,'Plur. Gen. C.'!V:V)</f>
        <v>3753.9803693127274</v>
      </c>
      <c r="G56" s="42">
        <f>SUMIF('Plur. Gen. C.'!D:D,'C.E.'!A56,'Plur. Gen. C.'!Z:Z)</f>
        <v>4001.5268448394909</v>
      </c>
    </row>
    <row r="57" spans="1:8" ht="15" customHeight="1" outlineLevel="2">
      <c r="A57" s="2" t="s">
        <v>373</v>
      </c>
      <c r="B57" s="67" t="s">
        <v>374</v>
      </c>
      <c r="C57" s="42">
        <f>SUMIF('Plur. Gen. C.'!D:D,'C.E.'!A57,'Plur. Gen. C.'!J:J)</f>
        <v>0</v>
      </c>
      <c r="D57" s="42">
        <f>SUMIF('Plur. Gen. C.'!D:D,'C.E.'!A57,'Plur. Gen. C.'!N:N)</f>
        <v>0</v>
      </c>
      <c r="E57" s="42">
        <f>SUMIF('Plur. Gen. C.'!D:D,'C.E.'!A57,'Plur. Gen. C.'!R:R)</f>
        <v>0</v>
      </c>
      <c r="F57" s="42">
        <f>SUMIF('Plur. Gen. C.'!D:D,'C.E.'!A57,'Plur. Gen. C.'!V:V)</f>
        <v>0</v>
      </c>
      <c r="G57" s="42">
        <f>SUMIF('Plur. Gen. C.'!D:D,'C.E.'!A57,'Plur. Gen. C.'!Z:Z)</f>
        <v>0</v>
      </c>
    </row>
    <row r="58" spans="1:8" ht="15" customHeight="1">
      <c r="A58" s="2" t="s">
        <v>375</v>
      </c>
      <c r="B58" s="55" t="s">
        <v>376</v>
      </c>
      <c r="C58" s="64">
        <f>C59-C63</f>
        <v>0</v>
      </c>
      <c r="D58" s="64">
        <f>D59-D63</f>
        <v>0</v>
      </c>
      <c r="E58" s="64">
        <f>E59-E63</f>
        <v>0</v>
      </c>
      <c r="F58" s="64">
        <f>F59-F63</f>
        <v>0</v>
      </c>
      <c r="G58" s="64">
        <f>G59-G63</f>
        <v>0</v>
      </c>
      <c r="H58" s="4"/>
    </row>
    <row r="59" spans="1:8" ht="15" customHeight="1" outlineLevel="1">
      <c r="A59" s="2">
        <v>18</v>
      </c>
      <c r="B59" s="130" t="s">
        <v>377</v>
      </c>
      <c r="C59" s="69">
        <f>C60+C61+C62</f>
        <v>0</v>
      </c>
      <c r="D59" s="69">
        <f>D60+D61+D62</f>
        <v>0</v>
      </c>
      <c r="E59" s="69">
        <f>E60+E61+E62</f>
        <v>0</v>
      </c>
      <c r="F59" s="69">
        <f>F60+F61+F62</f>
        <v>0</v>
      </c>
      <c r="G59" s="69">
        <f>G60+G61+G62</f>
        <v>0</v>
      </c>
      <c r="H59" s="4"/>
    </row>
    <row r="60" spans="1:8" ht="15" customHeight="1" outlineLevel="2">
      <c r="A60" s="2" t="s">
        <v>378</v>
      </c>
      <c r="B60" s="67" t="s">
        <v>379</v>
      </c>
      <c r="C60" s="42">
        <f>SUMIF('Plur. Gen. C.'!D:D,'C.E.'!A60,'Plur. Gen. C.'!J:J)</f>
        <v>0</v>
      </c>
      <c r="D60" s="42">
        <f>SUMIF('Plur. Gen. C.'!D:D,'C.E.'!A60,'Plur. Gen. C.'!N:N)</f>
        <v>0</v>
      </c>
      <c r="E60" s="42">
        <f>SUMIF('Plur. Gen. C.'!D:D,'C.E.'!A60,'Plur. Gen. C.'!R:R)</f>
        <v>0</v>
      </c>
      <c r="F60" s="42">
        <f>SUMIF('Plur. Gen. C.'!D:D,'C.E.'!A60,'Plur. Gen. C.'!V:V)</f>
        <v>0</v>
      </c>
      <c r="G60" s="42">
        <f>SUMIF('Plur. Gen. C.'!D:D,'C.E.'!A60,'Plur. Gen. C.'!Z:Z)</f>
        <v>0</v>
      </c>
    </row>
    <row r="61" spans="1:8" ht="15" customHeight="1" outlineLevel="2">
      <c r="A61" s="2" t="s">
        <v>380</v>
      </c>
      <c r="B61" s="67" t="s">
        <v>381</v>
      </c>
      <c r="C61" s="42">
        <f>SUMIF('Plur. Gen. C.'!D:D,'C.E.'!A61,'Plur. Gen. C.'!J:J)</f>
        <v>0</v>
      </c>
      <c r="D61" s="42">
        <f>SUMIF('Plur. Gen. C.'!D:D,'C.E.'!A61,'Plur. Gen. C.'!N:N)</f>
        <v>0</v>
      </c>
      <c r="E61" s="42">
        <f>SUMIF('Plur. Gen. C.'!D:D,'C.E.'!A61,'Plur. Gen. C.'!R:R)</f>
        <v>0</v>
      </c>
      <c r="F61" s="42">
        <f>SUMIF('Plur. Gen. C.'!D:D,'C.E.'!A61,'Plur. Gen. C.'!V:V)</f>
        <v>0</v>
      </c>
      <c r="G61" s="42">
        <f>SUMIF('Plur. Gen. C.'!D:D,'C.E.'!A61,'Plur. Gen. C.'!Z:Z)</f>
        <v>0</v>
      </c>
    </row>
    <row r="62" spans="1:8" ht="15" customHeight="1" outlineLevel="2">
      <c r="A62" s="2" t="s">
        <v>382</v>
      </c>
      <c r="B62" s="67" t="s">
        <v>383</v>
      </c>
      <c r="C62" s="42">
        <f>SUMIF('Plur. Gen. C.'!D:D,'C.E.'!A62,'Plur. Gen. C.'!J:J)</f>
        <v>0</v>
      </c>
      <c r="D62" s="42">
        <f>SUMIF('Plur. Gen. C.'!D:D,'C.E.'!A62,'Plur. Gen. C.'!N:N)</f>
        <v>0</v>
      </c>
      <c r="E62" s="42">
        <f>SUMIF('Plur. Gen. C.'!D:D,'C.E.'!A62,'Plur. Gen. C.'!R:R)</f>
        <v>0</v>
      </c>
      <c r="F62" s="42">
        <f>SUMIF('Plur. Gen. C.'!D:D,'C.E.'!A62,'Plur. Gen. C.'!V:V)</f>
        <v>0</v>
      </c>
      <c r="G62" s="42">
        <f>SUMIF('Plur. Gen. C.'!D:D,'C.E.'!A62,'Plur. Gen. C.'!Z:Z)</f>
        <v>0</v>
      </c>
    </row>
    <row r="63" spans="1:8" ht="15" customHeight="1" outlineLevel="1">
      <c r="A63" s="2">
        <v>19</v>
      </c>
      <c r="B63" s="130" t="s">
        <v>384</v>
      </c>
      <c r="C63" s="69">
        <f>C64+C65+C66</f>
        <v>0</v>
      </c>
      <c r="D63" s="69">
        <f>D64+D65+D66</f>
        <v>0</v>
      </c>
      <c r="E63" s="69">
        <f>E64+E65+E66</f>
        <v>0</v>
      </c>
      <c r="F63" s="69">
        <f>F64+F65+F66</f>
        <v>0</v>
      </c>
      <c r="G63" s="69">
        <f>G64+G65+G66</f>
        <v>0</v>
      </c>
      <c r="H63" s="4"/>
    </row>
    <row r="64" spans="1:8" ht="15" customHeight="1" outlineLevel="2">
      <c r="A64" s="2" t="s">
        <v>385</v>
      </c>
      <c r="B64" s="67" t="s">
        <v>379</v>
      </c>
      <c r="C64" s="42">
        <f>SUMIF('Plur. Gen. C.'!D:D,'C.E.'!A64,'Plur. Gen. C.'!J:J)</f>
        <v>0</v>
      </c>
      <c r="D64" s="42">
        <f>SUMIF('Plur. Gen. C.'!D:D,'C.E.'!A64,'Plur. Gen. C.'!N:N)</f>
        <v>0</v>
      </c>
      <c r="E64" s="42">
        <f>SUMIF('Plur. Gen. C.'!D:D,'C.E.'!A64,'Plur. Gen. C.'!R:R)</f>
        <v>0</v>
      </c>
      <c r="F64" s="42">
        <f>SUMIF('Plur. Gen. C.'!D:D,'C.E.'!A64,'Plur. Gen. C.'!V:V)</f>
        <v>0</v>
      </c>
      <c r="G64" s="42">
        <f>SUMIF('Plur. Gen. C.'!D:D,'C.E.'!A64,'Plur. Gen. C.'!Z:Z)</f>
        <v>0</v>
      </c>
    </row>
    <row r="65" spans="1:8" ht="15" customHeight="1" outlineLevel="2">
      <c r="A65" s="2" t="s">
        <v>386</v>
      </c>
      <c r="B65" s="67" t="s">
        <v>381</v>
      </c>
      <c r="C65" s="42">
        <f>SUMIF('Plur. Gen. C.'!D:D,'C.E.'!A65,'Plur. Gen. C.'!J:J)</f>
        <v>0</v>
      </c>
      <c r="D65" s="42">
        <f>SUMIF('Plur. Gen. C.'!D:D,'C.E.'!A65,'Plur. Gen. C.'!N:N)</f>
        <v>0</v>
      </c>
      <c r="E65" s="42">
        <f>SUMIF('Plur. Gen. C.'!D:D,'C.E.'!A65,'Plur. Gen. C.'!R:R)</f>
        <v>0</v>
      </c>
      <c r="F65" s="42">
        <f>SUMIF('Plur. Gen. C.'!D:D,'C.E.'!A65,'Plur. Gen. C.'!V:V)</f>
        <v>0</v>
      </c>
      <c r="G65" s="42">
        <f>SUMIF('Plur. Gen. C.'!D:D,'C.E.'!A65,'Plur. Gen. C.'!Z:Z)</f>
        <v>0</v>
      </c>
    </row>
    <row r="66" spans="1:8" ht="15" customHeight="1" outlineLevel="2">
      <c r="A66" s="2" t="s">
        <v>387</v>
      </c>
      <c r="B66" s="67" t="s">
        <v>383</v>
      </c>
      <c r="C66" s="42">
        <f>SUMIF('Plur. Gen. C.'!D:D,'C.E.'!A66,'Plur. Gen. C.'!J:J)</f>
        <v>0</v>
      </c>
      <c r="D66" s="42">
        <f>SUMIF('Plur. Gen. C.'!D:D,'C.E.'!A66,'Plur. Gen. C.'!N:N)</f>
        <v>0</v>
      </c>
      <c r="E66" s="42">
        <f>SUMIF('Plur. Gen. C.'!D:D,'C.E.'!A66,'Plur. Gen. C.'!R:R)</f>
        <v>0</v>
      </c>
      <c r="F66" s="42">
        <f>SUMIF('Plur. Gen. C.'!D:D,'C.E.'!A66,'Plur. Gen. C.'!V:V)</f>
        <v>0</v>
      </c>
      <c r="G66" s="42">
        <f>SUMIF('Plur. Gen. C.'!D:D,'C.E.'!A66,'Plur. Gen. C.'!Z:Z)</f>
        <v>0</v>
      </c>
    </row>
    <row r="67" spans="1:8" ht="15" customHeight="1">
      <c r="A67" s="2" t="s">
        <v>388</v>
      </c>
      <c r="B67" s="55" t="s">
        <v>389</v>
      </c>
      <c r="C67" s="64">
        <f>C68-C72</f>
        <v>0</v>
      </c>
      <c r="D67" s="64">
        <f>D68-D72</f>
        <v>0</v>
      </c>
      <c r="E67" s="64">
        <f>E68-E72</f>
        <v>0</v>
      </c>
      <c r="F67" s="64">
        <f>F68-F72</f>
        <v>0</v>
      </c>
      <c r="G67" s="64">
        <f>G68-G72</f>
        <v>0</v>
      </c>
      <c r="H67" s="4"/>
    </row>
    <row r="68" spans="1:8" ht="15" customHeight="1" outlineLevel="1">
      <c r="A68" s="2">
        <v>20</v>
      </c>
      <c r="B68" s="130" t="s">
        <v>390</v>
      </c>
      <c r="C68" s="69">
        <f>C69+C70+C71</f>
        <v>0</v>
      </c>
      <c r="D68" s="69">
        <f>D69+D70+D71</f>
        <v>0</v>
      </c>
      <c r="E68" s="69">
        <f>E69+E70+E71</f>
        <v>0</v>
      </c>
      <c r="F68" s="69">
        <f>F69+F70+F71</f>
        <v>0</v>
      </c>
      <c r="G68" s="69">
        <f>G69+G70+G71</f>
        <v>0</v>
      </c>
      <c r="H68" s="4"/>
    </row>
    <row r="69" spans="1:8" ht="15" customHeight="1" outlineLevel="2">
      <c r="A69" s="2" t="s">
        <v>391</v>
      </c>
      <c r="B69" s="67" t="s">
        <v>392</v>
      </c>
      <c r="C69" s="42">
        <f>SUMIF('Plur. Gen. C.'!D:D,'C.E.'!A69,'Plur. Gen. C.'!J:J)</f>
        <v>0</v>
      </c>
      <c r="D69" s="42">
        <f>SUMIF('Plur. Gen. C.'!D:D,'C.E.'!A69,'Plur. Gen. C.'!N:N)</f>
        <v>0</v>
      </c>
      <c r="E69" s="42">
        <f>SUMIF('Plur. Gen. C.'!D:D,'C.E.'!A69,'Plur. Gen. C.'!R:R)</f>
        <v>0</v>
      </c>
      <c r="F69" s="42">
        <f>SUMIF('Plur. Gen. C.'!D:D,'C.E.'!A69,'Plur. Gen. C.'!V:V)</f>
        <v>0</v>
      </c>
      <c r="G69" s="42">
        <f>SUMIF('Plur. Gen. C.'!D:D,'C.E.'!A69,'Plur. Gen. C.'!Z:Z)</f>
        <v>0</v>
      </c>
    </row>
    <row r="70" spans="1:8" ht="15" customHeight="1" outlineLevel="2">
      <c r="A70" s="2" t="s">
        <v>393</v>
      </c>
      <c r="B70" s="67" t="s">
        <v>394</v>
      </c>
      <c r="C70" s="42">
        <f>SUMIF('Plur. Gen. C.'!D:D,'C.E.'!A70,'Plur. Gen. C.'!J:J)</f>
        <v>0</v>
      </c>
      <c r="D70" s="42">
        <f>SUMIF('Plur. Gen. C.'!D:D,'C.E.'!A70,'Plur. Gen. C.'!N:N)</f>
        <v>0</v>
      </c>
      <c r="E70" s="42">
        <f>SUMIF('Plur. Gen. C.'!D:D,'C.E.'!A70,'Plur. Gen. C.'!R:R)</f>
        <v>0</v>
      </c>
      <c r="F70" s="42">
        <f>SUMIF('Plur. Gen. C.'!D:D,'C.E.'!A70,'Plur. Gen. C.'!V:V)</f>
        <v>0</v>
      </c>
      <c r="G70" s="42">
        <f>SUMIF('Plur. Gen. C.'!D:D,'C.E.'!A70,'Plur. Gen. C.'!Z:Z)</f>
        <v>0</v>
      </c>
    </row>
    <row r="71" spans="1:8" ht="15" customHeight="1" outlineLevel="2">
      <c r="A71" s="2" t="s">
        <v>395</v>
      </c>
      <c r="B71" s="67" t="s">
        <v>396</v>
      </c>
      <c r="C71" s="42">
        <f>SUMIF('Plur. Gen. C.'!D:D,'C.E.'!A71,'Plur. Gen. C.'!J:J)</f>
        <v>0</v>
      </c>
      <c r="D71" s="42">
        <f>SUMIF('Plur. Gen. C.'!D:D,'C.E.'!A71,'Plur. Gen. C.'!N:N)</f>
        <v>0</v>
      </c>
      <c r="E71" s="42">
        <f>SUMIF('Plur. Gen. C.'!D:D,'C.E.'!A71,'Plur. Gen. C.'!R:R)</f>
        <v>0</v>
      </c>
      <c r="F71" s="42">
        <f>SUMIF('Plur. Gen. C.'!D:D,'C.E.'!A71,'Plur. Gen. C.'!V:V)</f>
        <v>0</v>
      </c>
      <c r="G71" s="42">
        <f>SUMIF('Plur. Gen. C.'!D:D,'C.E.'!A71,'Plur. Gen. C.'!Z:Z)</f>
        <v>0</v>
      </c>
    </row>
    <row r="72" spans="1:8" ht="15" customHeight="1" outlineLevel="1">
      <c r="A72" s="2">
        <v>21</v>
      </c>
      <c r="B72" s="67" t="s">
        <v>397</v>
      </c>
      <c r="C72" s="69">
        <f>C73+C74+C75</f>
        <v>0</v>
      </c>
      <c r="D72" s="69">
        <f>D73+D74+D75</f>
        <v>0</v>
      </c>
      <c r="E72" s="69">
        <f>E73+E74+E75</f>
        <v>0</v>
      </c>
      <c r="F72" s="69">
        <f>F73+F74+F75</f>
        <v>0</v>
      </c>
      <c r="G72" s="69">
        <f>G73+G74+G75</f>
        <v>0</v>
      </c>
      <c r="H72" s="4"/>
    </row>
    <row r="73" spans="1:8" ht="15" customHeight="1" outlineLevel="2">
      <c r="A73" s="2" t="s">
        <v>398</v>
      </c>
      <c r="B73" s="67" t="s">
        <v>399</v>
      </c>
      <c r="C73" s="42">
        <f>SUMIF('Plur. Gen. C.'!D:D,'C.E.'!A73,'Plur. Gen. C.'!J:J)</f>
        <v>0</v>
      </c>
      <c r="D73" s="42">
        <f>SUMIF('Plur. Gen. C.'!D:D,'C.E.'!A73,'Plur. Gen. C.'!N:N)</f>
        <v>0</v>
      </c>
      <c r="E73" s="42">
        <f>SUMIF('Plur. Gen. C.'!D:D,'C.E.'!A73,'Plur. Gen. C.'!R:R)</f>
        <v>0</v>
      </c>
      <c r="F73" s="42">
        <f>SUMIF('Plur. Gen. C.'!D:D,'C.E.'!A73,'Plur. Gen. C.'!V:V)</f>
        <v>0</v>
      </c>
      <c r="G73" s="42">
        <f>SUMIF('Plur. Gen. C.'!D:D,'C.E.'!A73,'Plur. Gen. C.'!Z:Z)</f>
        <v>0</v>
      </c>
    </row>
    <row r="74" spans="1:8" ht="15" customHeight="1" outlineLevel="2">
      <c r="A74" s="2" t="s">
        <v>400</v>
      </c>
      <c r="B74" s="67" t="s">
        <v>401</v>
      </c>
      <c r="C74" s="42">
        <f>SUMIF('Plur. Gen. C.'!D:D,'C.E.'!A74,'Plur. Gen. C.'!J:J)</f>
        <v>0</v>
      </c>
      <c r="D74" s="42">
        <f>SUMIF('Plur. Gen. C.'!D:D,'C.E.'!A74,'Plur. Gen. C.'!N:N)</f>
        <v>0</v>
      </c>
      <c r="E74" s="42">
        <f>SUMIF('Plur. Gen. C.'!D:D,'C.E.'!A74,'Plur. Gen. C.'!R:R)</f>
        <v>0</v>
      </c>
      <c r="F74" s="42">
        <f>SUMIF('Plur. Gen. C.'!D:D,'C.E.'!A74,'Plur. Gen. C.'!V:V)</f>
        <v>0</v>
      </c>
      <c r="G74" s="42">
        <f>SUMIF('Plur. Gen. C.'!D:D,'C.E.'!A74,'Plur. Gen. C.'!Z:Z)</f>
        <v>0</v>
      </c>
    </row>
    <row r="75" spans="1:8" ht="15" customHeight="1" outlineLevel="2">
      <c r="A75" s="2" t="s">
        <v>402</v>
      </c>
      <c r="B75" s="67" t="s">
        <v>394</v>
      </c>
      <c r="C75" s="42">
        <f>SUMIF('Plur. Gen. C.'!D:D,'C.E.'!A75,'Plur. Gen. C.'!J:J)</f>
        <v>0</v>
      </c>
      <c r="D75" s="42">
        <f>SUMIF('Plur. Gen. C.'!D:D,'C.E.'!A75,'Plur. Gen. C.'!N:N)</f>
        <v>0</v>
      </c>
      <c r="E75" s="42">
        <f>SUMIF('Plur. Gen. C.'!D:D,'C.E.'!A75,'Plur. Gen. C.'!R:R)</f>
        <v>0</v>
      </c>
      <c r="F75" s="42">
        <f>SUMIF('Plur. Gen. C.'!D:D,'C.E.'!A75,'Plur. Gen. C.'!V:V)</f>
        <v>0</v>
      </c>
      <c r="G75" s="42">
        <f>SUMIF('Plur. Gen. C.'!D:D,'C.E.'!A75,'Plur. Gen. C.'!Z:Z)</f>
        <v>0</v>
      </c>
    </row>
    <row r="76" spans="1:8" ht="15" customHeight="1">
      <c r="A76" s="2" t="s">
        <v>331</v>
      </c>
      <c r="B76" s="55" t="s">
        <v>403</v>
      </c>
      <c r="C76" s="64">
        <f>C6-C14+C34+C58+C67</f>
        <v>210537.04177922063</v>
      </c>
      <c r="D76" s="64">
        <f>D6-D14+D34+D58+D67</f>
        <v>226830.32046103888</v>
      </c>
      <c r="E76" s="64">
        <f>E6-E14+E34+E58+E67</f>
        <v>241592.52724627522</v>
      </c>
      <c r="F76" s="64">
        <f>F6-F14+F34+F58+F67</f>
        <v>271592.40155409375</v>
      </c>
      <c r="G76" s="64">
        <f>G6-G14+G34+G58+G67</f>
        <v>299042.45008250879</v>
      </c>
      <c r="H76" s="4"/>
    </row>
    <row r="77" spans="1:8" ht="15" customHeight="1" outlineLevel="1">
      <c r="A77" s="2">
        <v>22</v>
      </c>
      <c r="B77" s="130" t="s">
        <v>404</v>
      </c>
      <c r="C77" s="69">
        <f>C78+C79+C80</f>
        <v>63161.112533766187</v>
      </c>
      <c r="D77" s="69">
        <f>D78+D79+D80</f>
        <v>68049.096138311666</v>
      </c>
      <c r="E77" s="69">
        <f>E78+E79+E80</f>
        <v>72477.758173882568</v>
      </c>
      <c r="F77" s="69">
        <f>F78+F79+F80</f>
        <v>81477.720466228129</v>
      </c>
      <c r="G77" s="69">
        <f>G78+G79+G80</f>
        <v>89712.735024752634</v>
      </c>
      <c r="H77" s="4"/>
    </row>
    <row r="78" spans="1:8" ht="15" customHeight="1" outlineLevel="2">
      <c r="A78" s="2" t="s">
        <v>272</v>
      </c>
      <c r="B78" s="67" t="s">
        <v>405</v>
      </c>
      <c r="C78" s="42">
        <f>SUMIF('Plur. Gen. C.'!D:D,'C.E.'!A78,'Plur. Gen. C.'!J:J)</f>
        <v>63161.112533766187</v>
      </c>
      <c r="D78" s="42">
        <f>SUMIF('Plur. Gen. C.'!D:D,'C.E.'!A78,'Plur. Gen. C.'!N:N)</f>
        <v>68049.096138311666</v>
      </c>
      <c r="E78" s="42">
        <f>SUMIF('Plur. Gen. C.'!D:D,'C.E.'!A78,'Plur. Gen. C.'!R:R)</f>
        <v>72477.758173882568</v>
      </c>
      <c r="F78" s="42">
        <f>SUMIF('Plur. Gen. C.'!D:D,'C.E.'!A78,'Plur. Gen. C.'!V:V)</f>
        <v>81477.720466228129</v>
      </c>
      <c r="G78" s="42">
        <f>SUMIF('Plur. Gen. C.'!D:D,'C.E.'!A78,'Plur. Gen. C.'!Z:Z)</f>
        <v>89712.735024752634</v>
      </c>
    </row>
    <row r="79" spans="1:8" ht="15" customHeight="1" outlineLevel="2">
      <c r="A79" s="2" t="s">
        <v>406</v>
      </c>
      <c r="B79" s="67" t="s">
        <v>407</v>
      </c>
      <c r="C79" s="42">
        <f>SUMIF('Plur. Gen. C.'!D:D,'C.E.'!A79,'Plur. Gen. C.'!J:J)</f>
        <v>0</v>
      </c>
      <c r="D79" s="42">
        <f>SUMIF('Plur. Gen. C.'!D:D,'C.E.'!A79,'Plur. Gen. C.'!N:N)</f>
        <v>0</v>
      </c>
      <c r="E79" s="42">
        <f>SUMIF('Plur. Gen. C.'!D:D,'C.E.'!A79,'Plur. Gen. C.'!R:R)</f>
        <v>0</v>
      </c>
      <c r="F79" s="42">
        <f>SUMIF('Plur. Gen. C.'!D:D,'C.E.'!A79,'Plur. Gen. C.'!V:V)</f>
        <v>0</v>
      </c>
      <c r="G79" s="42">
        <f>SUMIF('Plur. Gen. C.'!D:D,'C.E.'!A79,'Plur. Gen. C.'!Z:Z)</f>
        <v>0</v>
      </c>
    </row>
    <row r="80" spans="1:8" ht="15" customHeight="1" outlineLevel="2">
      <c r="A80" s="2" t="s">
        <v>408</v>
      </c>
      <c r="B80" s="67" t="s">
        <v>409</v>
      </c>
      <c r="C80" s="42">
        <f>SUMIF('Plur. Gen. C.'!D:D,'C.E.'!A80,'Plur. Gen. C.'!J:J)</f>
        <v>0</v>
      </c>
      <c r="D80" s="42">
        <f>SUMIF('Plur. Gen. C.'!D:D,'C.E.'!A80,'Plur. Gen. C.'!N:N)</f>
        <v>0</v>
      </c>
      <c r="E80" s="42">
        <f>SUMIF('Plur. Gen. C.'!D:D,'C.E.'!A80,'Plur. Gen. C.'!R:R)</f>
        <v>0</v>
      </c>
      <c r="F80" s="42">
        <f>SUMIF('Plur. Gen. C.'!D:D,'C.E.'!A80,'Plur. Gen. C.'!V:V)</f>
        <v>0</v>
      </c>
      <c r="G80" s="42">
        <f>SUMIF('Plur. Gen. C.'!D:D,'C.E.'!A80,'Plur. Gen. C.'!Z:Z)</f>
        <v>0</v>
      </c>
    </row>
    <row r="81" spans="1:10" ht="15" customHeight="1" thickBot="1">
      <c r="A81" s="147">
        <v>23</v>
      </c>
      <c r="B81" s="148" t="s">
        <v>410</v>
      </c>
      <c r="C81" s="149">
        <f>C76-C77</f>
        <v>147375.92924545443</v>
      </c>
      <c r="D81" s="149">
        <f>D76-D77</f>
        <v>158781.22432272721</v>
      </c>
      <c r="E81" s="149">
        <f>E76-E77</f>
        <v>169114.76907239266</v>
      </c>
      <c r="F81" s="149">
        <f>F76-F77</f>
        <v>190114.68108786561</v>
      </c>
      <c r="G81" s="149">
        <f>G76-G77</f>
        <v>209329.71505775617</v>
      </c>
      <c r="H81" s="4"/>
      <c r="I81" s="4"/>
      <c r="J81" s="4"/>
    </row>
    <row r="82" spans="1:10" ht="11.25" thickTop="1"/>
    <row r="83" spans="1:10">
      <c r="C83" s="42"/>
      <c r="D83" s="42"/>
      <c r="E83" s="42"/>
      <c r="F83" s="42"/>
      <c r="G83" s="42"/>
    </row>
    <row r="84" spans="1:10">
      <c r="C84" s="42"/>
      <c r="D84" s="42"/>
      <c r="E84" s="42"/>
      <c r="F84" s="42"/>
      <c r="G84" s="42"/>
    </row>
    <row r="85" spans="1:10">
      <c r="C85" s="42"/>
      <c r="D85" s="4"/>
      <c r="E85" s="4"/>
      <c r="F85" s="4"/>
      <c r="G85" s="4"/>
    </row>
    <row r="86" spans="1:10">
      <c r="G86" s="4"/>
    </row>
  </sheetData>
  <sheetProtection algorithmName="SHA-512" hashValue="OVjGoPv53hKaHUUoxH57AQ14C69D7LYYn8/YaxkMVh/XOxx96X0kN/2wPJebm8bqxTiERKLqdl+sxTD4C70hPg==" saltValue="ubH+KUEYZQED+3gUtryJuA==" spinCount="100000" sheet="1" selectLockedCells="1"/>
  <mergeCells count="3">
    <mergeCell ref="A3:G3"/>
    <mergeCell ref="A2:G2"/>
    <mergeCell ref="A1:G1"/>
  </mergeCells>
  <printOptions horizontalCentered="1"/>
  <pageMargins left="0.19685039370078741" right="0.19685039370078741" top="0.19685039370078741" bottom="0.19685039370078741" header="0" footer="0"/>
  <pageSetup paperSize="9" scale="76" fitToHeight="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220"/>
  <sheetViews>
    <sheetView topLeftCell="A102" workbookViewId="0">
      <selection activeCell="A102" sqref="A1:XFD1048576"/>
    </sheetView>
  </sheetViews>
  <sheetFormatPr defaultColWidth="9" defaultRowHeight="12.75"/>
  <cols>
    <col min="1" max="1" width="5.140625" style="119" bestFit="1" customWidth="1"/>
    <col min="2" max="2" width="59.7109375" style="119" customWidth="1"/>
    <col min="3" max="8" width="17.85546875" style="119" customWidth="1"/>
    <col min="9" max="16384" width="9" style="119"/>
  </cols>
  <sheetData>
    <row r="1" spans="1:8" ht="25.9" customHeight="1">
      <c r="A1" s="550" t="str">
        <f>Menù!D3</f>
        <v>Trovato 1929</v>
      </c>
      <c r="B1" s="550"/>
      <c r="C1" s="550"/>
      <c r="D1" s="550"/>
      <c r="E1" s="550"/>
      <c r="F1" s="550"/>
      <c r="G1" s="550"/>
      <c r="H1" s="550"/>
    </row>
    <row r="2" spans="1:8" ht="41.25" customHeight="1">
      <c r="A2" s="555" t="str">
        <f>Menù!A2</f>
        <v>Budget e Business Plan</v>
      </c>
      <c r="B2" s="555"/>
      <c r="C2" s="555"/>
      <c r="D2" s="555"/>
      <c r="E2" s="555"/>
      <c r="F2" s="555"/>
      <c r="G2" s="555"/>
      <c r="H2" s="555"/>
    </row>
    <row r="3" spans="1:8" ht="20.25" customHeight="1">
      <c r="A3" s="585" t="s">
        <v>411</v>
      </c>
      <c r="B3" s="556"/>
      <c r="C3" s="556"/>
      <c r="D3" s="556"/>
      <c r="E3" s="556"/>
      <c r="F3" s="556"/>
      <c r="G3" s="556"/>
      <c r="H3" s="556"/>
    </row>
    <row r="5" spans="1:8" ht="16.899999999999999" customHeight="1">
      <c r="A5" s="337" t="s">
        <v>412</v>
      </c>
      <c r="B5" s="338" t="s">
        <v>413</v>
      </c>
      <c r="C5" s="339">
        <f>D5-1</f>
        <v>2024</v>
      </c>
      <c r="D5" s="339">
        <f>'C.E.'!C5</f>
        <v>2025</v>
      </c>
      <c r="E5" s="339">
        <f>'C.E.'!D5</f>
        <v>2026</v>
      </c>
      <c r="F5" s="339">
        <f>'C.E.'!E5</f>
        <v>2027</v>
      </c>
      <c r="G5" s="339">
        <f>'C.E.'!F5</f>
        <v>2028</v>
      </c>
      <c r="H5" s="339">
        <f>'C.E.'!G5</f>
        <v>2029</v>
      </c>
    </row>
    <row r="6" spans="1:8" ht="16.899999999999999" customHeight="1">
      <c r="A6" s="340"/>
      <c r="B6" s="341"/>
      <c r="C6" s="341"/>
      <c r="D6" s="342"/>
      <c r="E6" s="343"/>
      <c r="F6" s="343"/>
      <c r="G6" s="343"/>
      <c r="H6" s="343"/>
    </row>
    <row r="7" spans="1:8" ht="16.899999999999999" customHeight="1">
      <c r="A7" s="344">
        <v>150</v>
      </c>
      <c r="B7" s="345" t="s">
        <v>414</v>
      </c>
      <c r="C7" s="346">
        <f t="shared" ref="C7:H7" si="0">C8+C11+C87+C131</f>
        <v>250498.8</v>
      </c>
      <c r="D7" s="346">
        <f t="shared" ca="1" si="0"/>
        <v>235179.47995974013</v>
      </c>
      <c r="E7" s="346">
        <f t="shared" ca="1" si="0"/>
        <v>483387.50149675278</v>
      </c>
      <c r="F7" s="346">
        <f t="shared" ca="1" si="0"/>
        <v>742821.85335843102</v>
      </c>
      <c r="G7" s="346">
        <f t="shared" ca="1" si="0"/>
        <v>1024193.5420893324</v>
      </c>
      <c r="H7" s="346">
        <f t="shared" ca="1" si="0"/>
        <v>1325764.5608865616</v>
      </c>
    </row>
    <row r="8" spans="1:8" customFormat="1" ht="16.899999999999999" customHeight="1">
      <c r="A8" s="347">
        <v>10</v>
      </c>
      <c r="B8" s="348" t="s">
        <v>415</v>
      </c>
      <c r="C8" s="349">
        <f t="shared" ref="C8:H8" si="1">SUM(C9:C10)</f>
        <v>0</v>
      </c>
      <c r="D8" s="349">
        <f t="shared" si="1"/>
        <v>0</v>
      </c>
      <c r="E8" s="349">
        <f t="shared" si="1"/>
        <v>0</v>
      </c>
      <c r="F8" s="349">
        <f t="shared" si="1"/>
        <v>0</v>
      </c>
      <c r="G8" s="349">
        <f t="shared" si="1"/>
        <v>0</v>
      </c>
      <c r="H8" s="349">
        <f t="shared" si="1"/>
        <v>0</v>
      </c>
    </row>
    <row r="9" spans="1:8" customFormat="1" ht="16.899999999999999" customHeight="1">
      <c r="A9" s="350">
        <v>12</v>
      </c>
      <c r="B9" s="351" t="s">
        <v>416</v>
      </c>
      <c r="C9" s="352">
        <v>0</v>
      </c>
      <c r="D9" s="352">
        <v>0</v>
      </c>
      <c r="E9" s="352">
        <v>0</v>
      </c>
      <c r="F9" s="352">
        <v>0</v>
      </c>
      <c r="G9" s="352">
        <v>0</v>
      </c>
      <c r="H9" s="352">
        <v>0</v>
      </c>
    </row>
    <row r="10" spans="1:8" customFormat="1" ht="16.899999999999999" customHeight="1">
      <c r="A10" s="350" t="s">
        <v>417</v>
      </c>
      <c r="B10" s="351" t="s">
        <v>418</v>
      </c>
      <c r="C10" s="352">
        <v>0</v>
      </c>
      <c r="D10" s="352">
        <v>0</v>
      </c>
      <c r="E10" s="352">
        <v>0</v>
      </c>
      <c r="F10" s="352">
        <v>0</v>
      </c>
      <c r="G10" s="352">
        <v>0</v>
      </c>
      <c r="H10" s="352">
        <v>0</v>
      </c>
    </row>
    <row r="11" spans="1:8" ht="16.899999999999999" customHeight="1">
      <c r="A11" s="353">
        <v>20</v>
      </c>
      <c r="B11" s="354" t="s">
        <v>419</v>
      </c>
      <c r="C11" s="355">
        <f t="shared" ref="C11:H11" si="2">C12+C38+C60</f>
        <v>0</v>
      </c>
      <c r="D11" s="355">
        <f t="shared" si="2"/>
        <v>35785.542857142864</v>
      </c>
      <c r="E11" s="355">
        <f t="shared" si="2"/>
        <v>71571.085714285728</v>
      </c>
      <c r="F11" s="355">
        <f t="shared" si="2"/>
        <v>107356.62857142859</v>
      </c>
      <c r="G11" s="355">
        <f t="shared" si="2"/>
        <v>143142.17142857146</v>
      </c>
      <c r="H11" s="355">
        <f t="shared" si="2"/>
        <v>178927.71428571432</v>
      </c>
    </row>
    <row r="12" spans="1:8" ht="16.899999999999999" customHeight="1">
      <c r="A12" s="356">
        <v>30</v>
      </c>
      <c r="B12" s="357" t="s">
        <v>420</v>
      </c>
      <c r="C12" s="358">
        <f t="shared" ref="C12:H12" si="3">C13+C17+C21+C25+C29+C33+C34</f>
        <v>0</v>
      </c>
      <c r="D12" s="358">
        <f t="shared" si="3"/>
        <v>35785.542857142864</v>
      </c>
      <c r="E12" s="358">
        <f t="shared" si="3"/>
        <v>71571.085714285728</v>
      </c>
      <c r="F12" s="358">
        <f t="shared" si="3"/>
        <v>107356.62857142859</v>
      </c>
      <c r="G12" s="358">
        <f t="shared" si="3"/>
        <v>143142.17142857146</v>
      </c>
      <c r="H12" s="358">
        <f t="shared" si="3"/>
        <v>178927.71428571432</v>
      </c>
    </row>
    <row r="13" spans="1:8" ht="16.899999999999999" customHeight="1">
      <c r="A13" s="359">
        <v>31</v>
      </c>
      <c r="B13" s="360" t="s">
        <v>421</v>
      </c>
      <c r="C13" s="361">
        <f t="shared" ref="C13:H13" si="4">C14-C15-C16</f>
        <v>0</v>
      </c>
      <c r="D13" s="361">
        <f t="shared" si="4"/>
        <v>35785.542857142864</v>
      </c>
      <c r="E13" s="361">
        <f t="shared" si="4"/>
        <v>71571.085714285728</v>
      </c>
      <c r="F13" s="361">
        <f t="shared" si="4"/>
        <v>107356.62857142859</v>
      </c>
      <c r="G13" s="361">
        <f t="shared" si="4"/>
        <v>143142.17142857146</v>
      </c>
      <c r="H13" s="361">
        <f t="shared" si="4"/>
        <v>178927.71428571432</v>
      </c>
    </row>
    <row r="14" spans="1:8" ht="16.899999999999999" customHeight="1">
      <c r="A14" s="350" t="s">
        <v>417</v>
      </c>
      <c r="B14" s="351" t="s">
        <v>422</v>
      </c>
      <c r="C14" s="352">
        <v>0</v>
      </c>
      <c r="D14" s="352">
        <f>Inv.!C13</f>
        <v>250498.8</v>
      </c>
      <c r="E14" s="352">
        <f>D14</f>
        <v>250498.8</v>
      </c>
      <c r="F14" s="352">
        <f>E14</f>
        <v>250498.8</v>
      </c>
      <c r="G14" s="352">
        <f>F14</f>
        <v>250498.8</v>
      </c>
      <c r="H14" s="352">
        <f>G14</f>
        <v>250498.8</v>
      </c>
    </row>
    <row r="15" spans="1:8" customFormat="1" ht="16.899999999999999" customHeight="1">
      <c r="A15" s="350" t="s">
        <v>417</v>
      </c>
      <c r="B15" s="351" t="s">
        <v>423</v>
      </c>
      <c r="C15" s="352">
        <v>0</v>
      </c>
      <c r="D15" s="352">
        <f>Inv.!V13</f>
        <v>214713.25714285712</v>
      </c>
      <c r="E15" s="352">
        <f>Inv.!W13</f>
        <v>178927.71428571426</v>
      </c>
      <c r="F15" s="352">
        <f>Inv.!X13</f>
        <v>143142.1714285714</v>
      </c>
      <c r="G15" s="352">
        <f>Inv.!Y13</f>
        <v>107356.62857142853</v>
      </c>
      <c r="H15" s="352">
        <f>Inv.!Z13</f>
        <v>71571.085714285669</v>
      </c>
    </row>
    <row r="16" spans="1:8" customFormat="1" ht="16.899999999999999" customHeight="1">
      <c r="A16" s="350" t="s">
        <v>417</v>
      </c>
      <c r="B16" s="351" t="s">
        <v>424</v>
      </c>
      <c r="C16" s="352">
        <v>0</v>
      </c>
      <c r="D16" s="352">
        <v>0</v>
      </c>
      <c r="E16" s="352">
        <v>0</v>
      </c>
      <c r="F16" s="352">
        <v>0</v>
      </c>
      <c r="G16" s="352">
        <v>0</v>
      </c>
      <c r="H16" s="352">
        <v>0</v>
      </c>
    </row>
    <row r="17" spans="1:8" customFormat="1" ht="16.899999999999999" customHeight="1">
      <c r="A17" s="359">
        <v>32</v>
      </c>
      <c r="B17" s="360" t="s">
        <v>425</v>
      </c>
      <c r="C17" s="361">
        <f t="shared" ref="C17:H17" si="5">C18-C19-C20</f>
        <v>0</v>
      </c>
      <c r="D17" s="361">
        <f t="shared" si="5"/>
        <v>0</v>
      </c>
      <c r="E17" s="361">
        <f t="shared" si="5"/>
        <v>0</v>
      </c>
      <c r="F17" s="361">
        <f t="shared" si="5"/>
        <v>0</v>
      </c>
      <c r="G17" s="361">
        <f t="shared" si="5"/>
        <v>0</v>
      </c>
      <c r="H17" s="361">
        <f t="shared" si="5"/>
        <v>0</v>
      </c>
    </row>
    <row r="18" spans="1:8" customFormat="1" ht="16.899999999999999" customHeight="1">
      <c r="A18" s="350" t="s">
        <v>417</v>
      </c>
      <c r="B18" s="351" t="s">
        <v>422</v>
      </c>
      <c r="C18" s="352">
        <v>0</v>
      </c>
      <c r="D18" s="352">
        <v>0</v>
      </c>
      <c r="E18" s="352">
        <v>0</v>
      </c>
      <c r="F18" s="352">
        <v>0</v>
      </c>
      <c r="G18" s="352">
        <v>0</v>
      </c>
      <c r="H18" s="352">
        <v>0</v>
      </c>
    </row>
    <row r="19" spans="1:8" customFormat="1" ht="16.899999999999999" customHeight="1">
      <c r="A19" s="350" t="s">
        <v>417</v>
      </c>
      <c r="B19" s="351" t="s">
        <v>423</v>
      </c>
      <c r="C19" s="352">
        <f>Inv.!Y18</f>
        <v>0</v>
      </c>
      <c r="D19" s="352">
        <f>Inv.!Z18</f>
        <v>0</v>
      </c>
      <c r="E19" s="352">
        <f>Inv.!Y18</f>
        <v>0</v>
      </c>
      <c r="F19" s="352">
        <f>Inv.!X18</f>
        <v>0</v>
      </c>
      <c r="G19" s="352">
        <f>Inv.!W18</f>
        <v>0</v>
      </c>
      <c r="H19" s="352">
        <f>Inv.!V18</f>
        <v>0</v>
      </c>
    </row>
    <row r="20" spans="1:8" customFormat="1" ht="16.899999999999999" customHeight="1">
      <c r="A20" s="350" t="s">
        <v>417</v>
      </c>
      <c r="B20" s="351" t="s">
        <v>424</v>
      </c>
      <c r="C20" s="352">
        <v>0</v>
      </c>
      <c r="D20" s="352">
        <v>0</v>
      </c>
      <c r="E20" s="352">
        <v>0</v>
      </c>
      <c r="F20" s="352">
        <v>0</v>
      </c>
      <c r="G20" s="352">
        <v>0</v>
      </c>
      <c r="H20" s="352">
        <v>0</v>
      </c>
    </row>
    <row r="21" spans="1:8" customFormat="1" ht="16.899999999999999" customHeight="1">
      <c r="A21" s="359">
        <v>33</v>
      </c>
      <c r="B21" s="360" t="s">
        <v>426</v>
      </c>
      <c r="C21" s="361">
        <f t="shared" ref="C21:H21" si="6">C22-C23-C24</f>
        <v>0</v>
      </c>
      <c r="D21" s="361">
        <f t="shared" si="6"/>
        <v>0</v>
      </c>
      <c r="E21" s="361">
        <f t="shared" si="6"/>
        <v>0</v>
      </c>
      <c r="F21" s="361">
        <f t="shared" si="6"/>
        <v>0</v>
      </c>
      <c r="G21" s="361">
        <f t="shared" si="6"/>
        <v>0</v>
      </c>
      <c r="H21" s="361">
        <f t="shared" si="6"/>
        <v>0</v>
      </c>
    </row>
    <row r="22" spans="1:8" customFormat="1" ht="16.899999999999999" customHeight="1">
      <c r="A22" s="350" t="s">
        <v>417</v>
      </c>
      <c r="B22" s="351" t="s">
        <v>422</v>
      </c>
      <c r="C22" s="352">
        <v>0</v>
      </c>
      <c r="D22" s="352">
        <v>0</v>
      </c>
      <c r="E22" s="352">
        <v>0</v>
      </c>
      <c r="F22" s="352">
        <v>0</v>
      </c>
      <c r="G22" s="352">
        <v>0</v>
      </c>
      <c r="H22" s="352">
        <v>0</v>
      </c>
    </row>
    <row r="23" spans="1:8" customFormat="1" ht="16.899999999999999" customHeight="1">
      <c r="A23" s="350" t="s">
        <v>417</v>
      </c>
      <c r="B23" s="351" t="s">
        <v>423</v>
      </c>
      <c r="C23" s="352">
        <v>0</v>
      </c>
      <c r="D23" s="352">
        <v>0</v>
      </c>
      <c r="E23" s="352">
        <v>0</v>
      </c>
      <c r="F23" s="352">
        <v>0</v>
      </c>
      <c r="G23" s="352">
        <v>0</v>
      </c>
      <c r="H23" s="352">
        <v>0</v>
      </c>
    </row>
    <row r="24" spans="1:8" customFormat="1" ht="16.899999999999999" customHeight="1">
      <c r="A24" s="350" t="s">
        <v>417</v>
      </c>
      <c r="B24" s="351" t="s">
        <v>424</v>
      </c>
      <c r="C24" s="352">
        <v>0</v>
      </c>
      <c r="D24" s="352">
        <v>0</v>
      </c>
      <c r="E24" s="352">
        <v>0</v>
      </c>
      <c r="F24" s="352">
        <v>0</v>
      </c>
      <c r="G24" s="352">
        <v>0</v>
      </c>
      <c r="H24" s="352">
        <v>0</v>
      </c>
    </row>
    <row r="25" spans="1:8" customFormat="1" ht="16.899999999999999" customHeight="1">
      <c r="A25" s="359">
        <v>34</v>
      </c>
      <c r="B25" s="360" t="s">
        <v>427</v>
      </c>
      <c r="C25" s="361">
        <f t="shared" ref="C25:H25" si="7">C26-C27-C28</f>
        <v>0</v>
      </c>
      <c r="D25" s="361">
        <f t="shared" si="7"/>
        <v>0</v>
      </c>
      <c r="E25" s="361">
        <f t="shared" si="7"/>
        <v>0</v>
      </c>
      <c r="F25" s="361">
        <f t="shared" si="7"/>
        <v>0</v>
      </c>
      <c r="G25" s="361">
        <f t="shared" si="7"/>
        <v>0</v>
      </c>
      <c r="H25" s="361">
        <f t="shared" si="7"/>
        <v>0</v>
      </c>
    </row>
    <row r="26" spans="1:8" customFormat="1" ht="16.899999999999999" customHeight="1">
      <c r="A26" s="350" t="s">
        <v>417</v>
      </c>
      <c r="B26" s="351" t="s">
        <v>422</v>
      </c>
      <c r="C26" s="352">
        <v>0</v>
      </c>
      <c r="D26" s="352">
        <v>0</v>
      </c>
      <c r="E26" s="352">
        <v>0</v>
      </c>
      <c r="F26" s="352">
        <v>0</v>
      </c>
      <c r="G26" s="352">
        <v>0</v>
      </c>
      <c r="H26" s="352">
        <v>0</v>
      </c>
    </row>
    <row r="27" spans="1:8" customFormat="1" ht="16.899999999999999" customHeight="1">
      <c r="A27" s="350" t="s">
        <v>417</v>
      </c>
      <c r="B27" s="351" t="s">
        <v>423</v>
      </c>
      <c r="C27" s="352">
        <v>0</v>
      </c>
      <c r="D27" s="352">
        <v>0</v>
      </c>
      <c r="E27" s="352">
        <v>0</v>
      </c>
      <c r="F27" s="352">
        <v>0</v>
      </c>
      <c r="G27" s="352">
        <v>0</v>
      </c>
      <c r="H27" s="352">
        <v>0</v>
      </c>
    </row>
    <row r="28" spans="1:8" customFormat="1" ht="16.899999999999999" customHeight="1">
      <c r="A28" s="350" t="s">
        <v>417</v>
      </c>
      <c r="B28" s="351" t="s">
        <v>424</v>
      </c>
      <c r="C28" s="352">
        <v>0</v>
      </c>
      <c r="D28" s="352">
        <v>0</v>
      </c>
      <c r="E28" s="352">
        <v>0</v>
      </c>
      <c r="F28" s="352">
        <v>0</v>
      </c>
      <c r="G28" s="352">
        <v>0</v>
      </c>
      <c r="H28" s="352">
        <v>0</v>
      </c>
    </row>
    <row r="29" spans="1:8" ht="16.899999999999999" customHeight="1">
      <c r="A29" s="359">
        <v>35</v>
      </c>
      <c r="B29" s="360" t="s">
        <v>428</v>
      </c>
      <c r="C29" s="361">
        <f t="shared" ref="C29:H29" si="8">C30-C31-C32</f>
        <v>0</v>
      </c>
      <c r="D29" s="361">
        <f t="shared" si="8"/>
        <v>0</v>
      </c>
      <c r="E29" s="361">
        <f t="shared" si="8"/>
        <v>0</v>
      </c>
      <c r="F29" s="361">
        <f t="shared" si="8"/>
        <v>0</v>
      </c>
      <c r="G29" s="361">
        <f t="shared" si="8"/>
        <v>0</v>
      </c>
      <c r="H29" s="361">
        <f t="shared" si="8"/>
        <v>0</v>
      </c>
    </row>
    <row r="30" spans="1:8" ht="16.899999999999999" customHeight="1">
      <c r="A30" s="350" t="s">
        <v>417</v>
      </c>
      <c r="B30" s="351" t="s">
        <v>422</v>
      </c>
      <c r="C30" s="352">
        <f>Inv.!U33</f>
        <v>0</v>
      </c>
      <c r="D30" s="352">
        <f>Inv.!V33</f>
        <v>0</v>
      </c>
      <c r="E30" s="352">
        <f>Inv.!W33</f>
        <v>0</v>
      </c>
      <c r="F30" s="352">
        <f>Inv.!X33</f>
        <v>0</v>
      </c>
      <c r="G30" s="352">
        <f>Inv.!Y33</f>
        <v>0</v>
      </c>
      <c r="H30" s="352">
        <f>Inv.!Z33</f>
        <v>0</v>
      </c>
    </row>
    <row r="31" spans="1:8" customFormat="1" ht="16.899999999999999" customHeight="1">
      <c r="A31" s="350" t="s">
        <v>417</v>
      </c>
      <c r="B31" s="351" t="s">
        <v>423</v>
      </c>
      <c r="C31" s="352">
        <v>0</v>
      </c>
      <c r="D31" s="352">
        <v>0</v>
      </c>
      <c r="E31" s="352">
        <v>0</v>
      </c>
      <c r="F31" s="352">
        <v>0</v>
      </c>
      <c r="G31" s="352">
        <v>0</v>
      </c>
      <c r="H31" s="352">
        <v>0</v>
      </c>
    </row>
    <row r="32" spans="1:8" customFormat="1" ht="16.899999999999999" customHeight="1">
      <c r="A32" s="350" t="s">
        <v>417</v>
      </c>
      <c r="B32" s="351" t="s">
        <v>424</v>
      </c>
      <c r="C32" s="352">
        <v>0</v>
      </c>
      <c r="D32" s="352">
        <v>0</v>
      </c>
      <c r="E32" s="352">
        <v>0</v>
      </c>
      <c r="F32" s="352">
        <v>0</v>
      </c>
      <c r="G32" s="352">
        <v>0</v>
      </c>
      <c r="H32" s="352">
        <v>0</v>
      </c>
    </row>
    <row r="33" spans="1:8" customFormat="1" ht="16.899999999999999" customHeight="1">
      <c r="A33" s="359">
        <v>36</v>
      </c>
      <c r="B33" s="360" t="s">
        <v>429</v>
      </c>
      <c r="C33" s="361">
        <v>0</v>
      </c>
      <c r="D33" s="361">
        <v>0</v>
      </c>
      <c r="E33" s="361">
        <v>0</v>
      </c>
      <c r="F33" s="361">
        <v>0</v>
      </c>
      <c r="G33" s="361">
        <v>0</v>
      </c>
      <c r="H33" s="361">
        <v>0</v>
      </c>
    </row>
    <row r="34" spans="1:8" customFormat="1" ht="16.899999999999999" customHeight="1">
      <c r="A34" s="359">
        <v>37</v>
      </c>
      <c r="B34" s="360" t="s">
        <v>430</v>
      </c>
      <c r="C34" s="361">
        <f t="shared" ref="C34:H34" si="9">C35-C36-C37</f>
        <v>0</v>
      </c>
      <c r="D34" s="361">
        <f t="shared" si="9"/>
        <v>0</v>
      </c>
      <c r="E34" s="361">
        <f t="shared" si="9"/>
        <v>0</v>
      </c>
      <c r="F34" s="361">
        <f t="shared" si="9"/>
        <v>0</v>
      </c>
      <c r="G34" s="361">
        <f t="shared" si="9"/>
        <v>0</v>
      </c>
      <c r="H34" s="361">
        <f t="shared" si="9"/>
        <v>0</v>
      </c>
    </row>
    <row r="35" spans="1:8" customFormat="1" ht="16.899999999999999" customHeight="1">
      <c r="A35" s="350" t="s">
        <v>417</v>
      </c>
      <c r="B35" s="351" t="s">
        <v>422</v>
      </c>
      <c r="C35" s="352">
        <f>Inv.!B37</f>
        <v>0</v>
      </c>
      <c r="D35" s="352">
        <v>0</v>
      </c>
      <c r="E35" s="352">
        <v>0</v>
      </c>
      <c r="F35" s="352">
        <v>0</v>
      </c>
      <c r="G35" s="352">
        <v>0</v>
      </c>
      <c r="H35" s="352">
        <v>0</v>
      </c>
    </row>
    <row r="36" spans="1:8" customFormat="1" ht="16.899999999999999" customHeight="1">
      <c r="A36" s="350">
        <v>21</v>
      </c>
      <c r="B36" s="351" t="s">
        <v>423</v>
      </c>
      <c r="C36" s="352">
        <f>Inv.!U37</f>
        <v>0</v>
      </c>
      <c r="D36" s="352">
        <v>0</v>
      </c>
      <c r="E36" s="352">
        <v>0</v>
      </c>
      <c r="F36" s="352">
        <v>0</v>
      </c>
      <c r="G36" s="352">
        <v>0</v>
      </c>
      <c r="H36" s="352">
        <v>0</v>
      </c>
    </row>
    <row r="37" spans="1:8" customFormat="1" ht="16.899999999999999" customHeight="1">
      <c r="A37" s="350" t="s">
        <v>417</v>
      </c>
      <c r="B37" s="351" t="s">
        <v>424</v>
      </c>
      <c r="C37" s="352">
        <v>0</v>
      </c>
      <c r="D37" s="352">
        <v>0</v>
      </c>
      <c r="E37" s="352">
        <v>0</v>
      </c>
      <c r="F37" s="352">
        <v>0</v>
      </c>
      <c r="G37" s="352">
        <v>0</v>
      </c>
      <c r="H37" s="352">
        <v>0</v>
      </c>
    </row>
    <row r="38" spans="1:8" ht="16.899999999999999" customHeight="1">
      <c r="A38" s="356">
        <v>40</v>
      </c>
      <c r="B38" s="357" t="s">
        <v>431</v>
      </c>
      <c r="C38" s="358">
        <f t="shared" ref="C38:H38" si="10">C39+C43+C47+C51+C56+C55</f>
        <v>0</v>
      </c>
      <c r="D38" s="358">
        <f t="shared" si="10"/>
        <v>0</v>
      </c>
      <c r="E38" s="358">
        <f t="shared" si="10"/>
        <v>0</v>
      </c>
      <c r="F38" s="358">
        <f t="shared" si="10"/>
        <v>0</v>
      </c>
      <c r="G38" s="358">
        <f t="shared" si="10"/>
        <v>0</v>
      </c>
      <c r="H38" s="358">
        <f t="shared" si="10"/>
        <v>0</v>
      </c>
    </row>
    <row r="39" spans="1:8" ht="16.899999999999999" customHeight="1">
      <c r="A39" s="359">
        <v>45</v>
      </c>
      <c r="B39" s="360" t="s">
        <v>432</v>
      </c>
      <c r="C39" s="361">
        <f t="shared" ref="C39:H39" si="11">C40-C41-C42</f>
        <v>0</v>
      </c>
      <c r="D39" s="361">
        <f t="shared" si="11"/>
        <v>0</v>
      </c>
      <c r="E39" s="361">
        <f t="shared" si="11"/>
        <v>0</v>
      </c>
      <c r="F39" s="361">
        <f t="shared" si="11"/>
        <v>0</v>
      </c>
      <c r="G39" s="361">
        <f t="shared" si="11"/>
        <v>0</v>
      </c>
      <c r="H39" s="361">
        <f t="shared" si="11"/>
        <v>0</v>
      </c>
    </row>
    <row r="40" spans="1:8" ht="16.899999999999999" customHeight="1">
      <c r="A40" s="350">
        <v>265</v>
      </c>
      <c r="B40" s="351" t="s">
        <v>422</v>
      </c>
      <c r="C40" s="352">
        <f>Inv.!U41</f>
        <v>0</v>
      </c>
      <c r="D40" s="352">
        <f>Inv.!V41</f>
        <v>0</v>
      </c>
      <c r="E40" s="352">
        <f>Inv.!W41</f>
        <v>0</v>
      </c>
      <c r="F40" s="352">
        <f>Inv.!X41</f>
        <v>0</v>
      </c>
      <c r="G40" s="352">
        <f>Inv.!Y41</f>
        <v>0</v>
      </c>
      <c r="H40" s="352">
        <f>Inv.!Z41</f>
        <v>0</v>
      </c>
    </row>
    <row r="41" spans="1:8" customFormat="1" ht="16.899999999999999" customHeight="1">
      <c r="A41" s="350" t="s">
        <v>417</v>
      </c>
      <c r="B41" s="351" t="s">
        <v>423</v>
      </c>
      <c r="C41" s="352">
        <v>0</v>
      </c>
      <c r="D41" s="352">
        <v>0</v>
      </c>
      <c r="E41" s="352">
        <v>0</v>
      </c>
      <c r="F41" s="352">
        <v>0</v>
      </c>
      <c r="G41" s="352">
        <v>0</v>
      </c>
      <c r="H41" s="352">
        <v>0</v>
      </c>
    </row>
    <row r="42" spans="1:8" customFormat="1" ht="16.899999999999999" customHeight="1">
      <c r="A42" s="350" t="s">
        <v>417</v>
      </c>
      <c r="B42" s="351" t="s">
        <v>424</v>
      </c>
      <c r="C42" s="352">
        <v>0</v>
      </c>
      <c r="D42" s="352">
        <v>0</v>
      </c>
      <c r="E42" s="352">
        <v>0</v>
      </c>
      <c r="F42" s="352">
        <v>0</v>
      </c>
      <c r="G42" s="352">
        <v>0</v>
      </c>
      <c r="H42" s="352">
        <v>0</v>
      </c>
    </row>
    <row r="43" spans="1:8" ht="16.899999999999999" customHeight="1">
      <c r="A43" s="359">
        <v>41</v>
      </c>
      <c r="B43" s="360" t="s">
        <v>433</v>
      </c>
      <c r="C43" s="361">
        <f t="shared" ref="C43:H43" si="12">C44-C45-C46</f>
        <v>0</v>
      </c>
      <c r="D43" s="361">
        <f t="shared" si="12"/>
        <v>0</v>
      </c>
      <c r="E43" s="361">
        <f t="shared" si="12"/>
        <v>0</v>
      </c>
      <c r="F43" s="361">
        <f t="shared" si="12"/>
        <v>0</v>
      </c>
      <c r="G43" s="361">
        <f t="shared" si="12"/>
        <v>0</v>
      </c>
      <c r="H43" s="361">
        <f t="shared" si="12"/>
        <v>0</v>
      </c>
    </row>
    <row r="44" spans="1:8" ht="16.899999999999999" customHeight="1">
      <c r="A44" s="350" t="s">
        <v>417</v>
      </c>
      <c r="B44" s="351" t="s">
        <v>422</v>
      </c>
      <c r="C44" s="352">
        <v>0</v>
      </c>
      <c r="D44" s="352">
        <v>0</v>
      </c>
      <c r="E44" s="352">
        <v>0</v>
      </c>
      <c r="F44" s="352">
        <v>0</v>
      </c>
      <c r="G44" s="352">
        <v>0</v>
      </c>
      <c r="H44" s="352">
        <v>0</v>
      </c>
    </row>
    <row r="45" spans="1:8" customFormat="1" ht="16.899999999999999" customHeight="1">
      <c r="A45" s="350" t="s">
        <v>417</v>
      </c>
      <c r="B45" s="351" t="s">
        <v>423</v>
      </c>
      <c r="C45" s="352">
        <v>0</v>
      </c>
      <c r="D45" s="352">
        <v>0</v>
      </c>
      <c r="E45" s="352">
        <v>0</v>
      </c>
      <c r="F45" s="352">
        <v>0</v>
      </c>
      <c r="G45" s="352">
        <v>0</v>
      </c>
      <c r="H45" s="352">
        <v>0</v>
      </c>
    </row>
    <row r="46" spans="1:8" customFormat="1" ht="16.899999999999999" customHeight="1">
      <c r="A46" s="350" t="s">
        <v>417</v>
      </c>
      <c r="B46" s="351" t="s">
        <v>424</v>
      </c>
      <c r="C46" s="352">
        <v>0</v>
      </c>
      <c r="D46" s="352">
        <v>0</v>
      </c>
      <c r="E46" s="352">
        <v>0</v>
      </c>
      <c r="F46" s="352">
        <v>0</v>
      </c>
      <c r="G46" s="352">
        <v>0</v>
      </c>
      <c r="H46" s="352">
        <v>0</v>
      </c>
    </row>
    <row r="47" spans="1:8" ht="16.899999999999999" customHeight="1">
      <c r="A47" s="359">
        <v>42</v>
      </c>
      <c r="B47" s="360" t="s">
        <v>434</v>
      </c>
      <c r="C47" s="361">
        <f t="shared" ref="C47:H47" si="13">C48-C49-C50</f>
        <v>0</v>
      </c>
      <c r="D47" s="361">
        <f t="shared" si="13"/>
        <v>0</v>
      </c>
      <c r="E47" s="361">
        <f t="shared" si="13"/>
        <v>0</v>
      </c>
      <c r="F47" s="361">
        <f t="shared" si="13"/>
        <v>0</v>
      </c>
      <c r="G47" s="361">
        <f t="shared" si="13"/>
        <v>0</v>
      </c>
      <c r="H47" s="361">
        <f t="shared" si="13"/>
        <v>0</v>
      </c>
    </row>
    <row r="48" spans="1:8" ht="16.899999999999999" customHeight="1">
      <c r="A48" s="350" t="s">
        <v>417</v>
      </c>
      <c r="B48" s="351" t="s">
        <v>422</v>
      </c>
      <c r="C48" s="352">
        <v>0</v>
      </c>
      <c r="D48" s="352">
        <v>0</v>
      </c>
      <c r="E48" s="352">
        <v>0</v>
      </c>
      <c r="F48" s="352">
        <v>0</v>
      </c>
      <c r="G48" s="352">
        <v>0</v>
      </c>
      <c r="H48" s="352">
        <v>0</v>
      </c>
    </row>
    <row r="49" spans="1:8" customFormat="1" ht="16.899999999999999" customHeight="1">
      <c r="A49" s="350" t="s">
        <v>417</v>
      </c>
      <c r="B49" s="351" t="s">
        <v>423</v>
      </c>
      <c r="C49" s="352">
        <v>0</v>
      </c>
      <c r="D49" s="352">
        <v>0</v>
      </c>
      <c r="E49" s="352">
        <v>0</v>
      </c>
      <c r="F49" s="352">
        <v>0</v>
      </c>
      <c r="G49" s="352">
        <v>0</v>
      </c>
      <c r="H49" s="352">
        <v>0</v>
      </c>
    </row>
    <row r="50" spans="1:8" customFormat="1" ht="16.899999999999999" customHeight="1">
      <c r="A50" s="350" t="s">
        <v>417</v>
      </c>
      <c r="B50" s="351" t="s">
        <v>424</v>
      </c>
      <c r="C50" s="352">
        <v>0</v>
      </c>
      <c r="D50" s="352">
        <v>0</v>
      </c>
      <c r="E50" s="352">
        <v>0</v>
      </c>
      <c r="F50" s="352">
        <v>0</v>
      </c>
      <c r="G50" s="352">
        <v>0</v>
      </c>
      <c r="H50" s="352">
        <v>0</v>
      </c>
    </row>
    <row r="51" spans="1:8" customFormat="1" ht="16.899999999999999" customHeight="1">
      <c r="A51" s="359">
        <v>43</v>
      </c>
      <c r="B51" s="360" t="s">
        <v>435</v>
      </c>
      <c r="C51" s="361">
        <f t="shared" ref="C51:H51" si="14">C52-C53-C54</f>
        <v>0</v>
      </c>
      <c r="D51" s="361">
        <f t="shared" si="14"/>
        <v>0</v>
      </c>
      <c r="E51" s="361">
        <f t="shared" si="14"/>
        <v>0</v>
      </c>
      <c r="F51" s="361">
        <f t="shared" si="14"/>
        <v>0</v>
      </c>
      <c r="G51" s="361">
        <f t="shared" si="14"/>
        <v>0</v>
      </c>
      <c r="H51" s="361">
        <f t="shared" si="14"/>
        <v>0</v>
      </c>
    </row>
    <row r="52" spans="1:8" customFormat="1" ht="16.899999999999999" customHeight="1">
      <c r="A52" s="350" t="s">
        <v>417</v>
      </c>
      <c r="B52" s="351" t="s">
        <v>422</v>
      </c>
      <c r="C52" s="352">
        <f>Inv.!B77</f>
        <v>0</v>
      </c>
      <c r="D52" s="352">
        <f>Inv.!C77</f>
        <v>0</v>
      </c>
      <c r="E52" s="352">
        <f>Inv.!D77+D52</f>
        <v>0</v>
      </c>
      <c r="F52" s="352">
        <f>Inv.!E77+E52</f>
        <v>0</v>
      </c>
      <c r="G52" s="352">
        <f>Inv.!F77+F52</f>
        <v>0</v>
      </c>
      <c r="H52" s="352">
        <f>Inv.!G77+G52</f>
        <v>0</v>
      </c>
    </row>
    <row r="53" spans="1:8" customFormat="1" ht="16.899999999999999" customHeight="1">
      <c r="A53" s="350" t="s">
        <v>417</v>
      </c>
      <c r="B53" s="351" t="s">
        <v>423</v>
      </c>
      <c r="C53" s="352">
        <f>Inv.!U77</f>
        <v>0</v>
      </c>
      <c r="D53" s="352">
        <f>Inv.!V77</f>
        <v>0</v>
      </c>
      <c r="E53" s="352">
        <f>Inv.!W77</f>
        <v>0</v>
      </c>
      <c r="F53" s="352">
        <f>Inv.!X77</f>
        <v>0</v>
      </c>
      <c r="G53" s="352">
        <f>Inv.!Y77</f>
        <v>0</v>
      </c>
      <c r="H53" s="352">
        <f>Inv.!Z77</f>
        <v>0</v>
      </c>
    </row>
    <row r="54" spans="1:8" customFormat="1" ht="16.899999999999999" customHeight="1">
      <c r="A54" s="350" t="s">
        <v>417</v>
      </c>
      <c r="B54" s="351" t="s">
        <v>424</v>
      </c>
      <c r="C54" s="352">
        <v>0</v>
      </c>
      <c r="D54" s="352">
        <v>0</v>
      </c>
      <c r="E54" s="352">
        <v>0</v>
      </c>
      <c r="F54" s="352">
        <v>0</v>
      </c>
      <c r="G54" s="352">
        <v>0</v>
      </c>
      <c r="H54" s="352">
        <v>0</v>
      </c>
    </row>
    <row r="55" spans="1:8" customFormat="1" ht="16.899999999999999" customHeight="1">
      <c r="A55" s="359">
        <v>44</v>
      </c>
      <c r="B55" s="360" t="s">
        <v>436</v>
      </c>
      <c r="C55" s="361">
        <v>0</v>
      </c>
      <c r="D55" s="361">
        <v>0</v>
      </c>
      <c r="E55" s="361">
        <v>0</v>
      </c>
      <c r="F55" s="361">
        <v>0</v>
      </c>
      <c r="G55" s="361">
        <v>0</v>
      </c>
      <c r="H55" s="361">
        <v>0</v>
      </c>
    </row>
    <row r="56" spans="1:8" customFormat="1" ht="16.899999999999999" customHeight="1">
      <c r="A56" s="359">
        <v>12000</v>
      </c>
      <c r="B56" s="360" t="s">
        <v>437</v>
      </c>
      <c r="C56" s="361">
        <f t="shared" ref="C56:H56" si="15">C57-C58-C59</f>
        <v>0</v>
      </c>
      <c r="D56" s="361">
        <f t="shared" si="15"/>
        <v>0</v>
      </c>
      <c r="E56" s="361">
        <f t="shared" si="15"/>
        <v>0</v>
      </c>
      <c r="F56" s="361">
        <f t="shared" si="15"/>
        <v>0</v>
      </c>
      <c r="G56" s="361">
        <f t="shared" si="15"/>
        <v>0</v>
      </c>
      <c r="H56" s="361">
        <f t="shared" si="15"/>
        <v>0</v>
      </c>
    </row>
    <row r="57" spans="1:8" customFormat="1" ht="16.899999999999999" customHeight="1">
      <c r="A57" s="350">
        <v>0</v>
      </c>
      <c r="B57" s="351" t="s">
        <v>422</v>
      </c>
      <c r="C57" s="352">
        <v>0</v>
      </c>
      <c r="D57" s="352">
        <v>0</v>
      </c>
      <c r="E57" s="352">
        <v>0</v>
      </c>
      <c r="F57" s="352">
        <v>0</v>
      </c>
      <c r="G57" s="352">
        <v>0</v>
      </c>
      <c r="H57" s="352">
        <v>0</v>
      </c>
    </row>
    <row r="58" spans="1:8" customFormat="1" ht="16.899999999999999" customHeight="1">
      <c r="A58" s="350">
        <v>0</v>
      </c>
      <c r="B58" s="351" t="s">
        <v>423</v>
      </c>
      <c r="C58" s="352">
        <v>0</v>
      </c>
      <c r="D58" s="352">
        <v>0</v>
      </c>
      <c r="E58" s="352">
        <v>0</v>
      </c>
      <c r="F58" s="352">
        <v>0</v>
      </c>
      <c r="G58" s="352">
        <v>0</v>
      </c>
      <c r="H58" s="352">
        <v>0</v>
      </c>
    </row>
    <row r="59" spans="1:8" customFormat="1" ht="16.899999999999999" customHeight="1">
      <c r="A59" s="350">
        <v>0</v>
      </c>
      <c r="B59" s="351" t="s">
        <v>424</v>
      </c>
      <c r="C59" s="352">
        <v>0</v>
      </c>
      <c r="D59" s="352">
        <v>0</v>
      </c>
      <c r="E59" s="352">
        <v>0</v>
      </c>
      <c r="F59" s="352">
        <v>0</v>
      </c>
      <c r="G59" s="352">
        <v>0</v>
      </c>
      <c r="H59" s="352">
        <v>0</v>
      </c>
    </row>
    <row r="60" spans="1:8" customFormat="1" ht="16.899999999999999" customHeight="1">
      <c r="A60" s="356">
        <v>50</v>
      </c>
      <c r="B60" s="357" t="s">
        <v>438</v>
      </c>
      <c r="C60" s="358">
        <f t="shared" ref="C60:H60" si="16">C61+C67+C83+C84</f>
        <v>0</v>
      </c>
      <c r="D60" s="358">
        <f t="shared" si="16"/>
        <v>0</v>
      </c>
      <c r="E60" s="358">
        <f t="shared" si="16"/>
        <v>0</v>
      </c>
      <c r="F60" s="358">
        <f t="shared" si="16"/>
        <v>0</v>
      </c>
      <c r="G60" s="358">
        <f t="shared" si="16"/>
        <v>0</v>
      </c>
      <c r="H60" s="358">
        <f t="shared" si="16"/>
        <v>0</v>
      </c>
    </row>
    <row r="61" spans="1:8" customFormat="1" ht="16.899999999999999" customHeight="1">
      <c r="A61" s="359">
        <v>67</v>
      </c>
      <c r="B61" s="360" t="s">
        <v>439</v>
      </c>
      <c r="C61" s="361">
        <f t="shared" ref="C61:H61" si="17">C62+C63+C64+C65+C66</f>
        <v>0</v>
      </c>
      <c r="D61" s="361">
        <f t="shared" si="17"/>
        <v>0</v>
      </c>
      <c r="E61" s="361">
        <f t="shared" si="17"/>
        <v>0</v>
      </c>
      <c r="F61" s="361">
        <f t="shared" si="17"/>
        <v>0</v>
      </c>
      <c r="G61" s="361">
        <f t="shared" si="17"/>
        <v>0</v>
      </c>
      <c r="H61" s="361">
        <f t="shared" si="17"/>
        <v>0</v>
      </c>
    </row>
    <row r="62" spans="1:8" customFormat="1" ht="16.899999999999999" customHeight="1">
      <c r="A62" s="350">
        <v>61</v>
      </c>
      <c r="B62" s="351" t="s">
        <v>440</v>
      </c>
      <c r="C62" s="352">
        <v>0</v>
      </c>
      <c r="D62" s="352">
        <v>0</v>
      </c>
      <c r="E62" s="352">
        <v>0</v>
      </c>
      <c r="F62" s="352">
        <v>0</v>
      </c>
      <c r="G62" s="352">
        <v>0</v>
      </c>
      <c r="H62" s="352">
        <v>0</v>
      </c>
    </row>
    <row r="63" spans="1:8" customFormat="1" ht="16.899999999999999" customHeight="1">
      <c r="A63" s="350">
        <v>62</v>
      </c>
      <c r="B63" s="351" t="s">
        <v>441</v>
      </c>
      <c r="C63" s="352">
        <v>0</v>
      </c>
      <c r="D63" s="352">
        <v>0</v>
      </c>
      <c r="E63" s="352">
        <v>0</v>
      </c>
      <c r="F63" s="352">
        <v>0</v>
      </c>
      <c r="G63" s="352">
        <v>0</v>
      </c>
      <c r="H63" s="352">
        <v>0</v>
      </c>
    </row>
    <row r="64" spans="1:8" customFormat="1" ht="16.899999999999999" customHeight="1">
      <c r="A64" s="350">
        <v>63</v>
      </c>
      <c r="B64" s="351" t="s">
        <v>442</v>
      </c>
      <c r="C64" s="352">
        <v>0</v>
      </c>
      <c r="D64" s="352">
        <v>0</v>
      </c>
      <c r="E64" s="352">
        <v>0</v>
      </c>
      <c r="F64" s="352">
        <v>0</v>
      </c>
      <c r="G64" s="352">
        <v>0</v>
      </c>
      <c r="H64" s="352">
        <v>0</v>
      </c>
    </row>
    <row r="65" spans="1:8" customFormat="1" ht="16.899999999999999" customHeight="1">
      <c r="A65" s="350">
        <v>64</v>
      </c>
      <c r="B65" s="351" t="s">
        <v>443</v>
      </c>
      <c r="C65" s="352">
        <v>0</v>
      </c>
      <c r="D65" s="352">
        <v>0</v>
      </c>
      <c r="E65" s="352">
        <v>0</v>
      </c>
      <c r="F65" s="352">
        <v>0</v>
      </c>
      <c r="G65" s="352">
        <v>0</v>
      </c>
      <c r="H65" s="352">
        <v>0</v>
      </c>
    </row>
    <row r="66" spans="1:8" customFormat="1" ht="16.899999999999999" customHeight="1">
      <c r="A66" s="350" t="s">
        <v>417</v>
      </c>
      <c r="B66" s="351" t="s">
        <v>444</v>
      </c>
      <c r="C66" s="352">
        <v>0</v>
      </c>
      <c r="D66" s="352">
        <v>0</v>
      </c>
      <c r="E66" s="352">
        <v>0</v>
      </c>
      <c r="F66" s="352">
        <v>0</v>
      </c>
      <c r="G66" s="352">
        <v>0</v>
      </c>
      <c r="H66" s="352">
        <v>0</v>
      </c>
    </row>
    <row r="67" spans="1:8" customFormat="1" ht="16.899999999999999" customHeight="1">
      <c r="A67" s="359">
        <v>65</v>
      </c>
      <c r="B67" s="360" t="s">
        <v>445</v>
      </c>
      <c r="C67" s="361">
        <f>SUM(C68,C71,C74,C77,C80)</f>
        <v>0</v>
      </c>
      <c r="D67" s="361">
        <f>SUM(D68,D71,D74,D77,D80)</f>
        <v>0</v>
      </c>
      <c r="E67" s="361">
        <f>SUM(E68,E71,E74,E77,E80,E83,E84)</f>
        <v>0</v>
      </c>
      <c r="F67" s="361">
        <f>SUM(F68,F71,F74,F77,F80,F83,F84)</f>
        <v>0</v>
      </c>
      <c r="G67" s="361">
        <f>SUM(G68,G71,G74,G77,G80,G83,G84)</f>
        <v>0</v>
      </c>
      <c r="H67" s="361">
        <f>SUM(H68,H71,H74,H77,H80,H83,H84)</f>
        <v>0</v>
      </c>
    </row>
    <row r="68" spans="1:8" customFormat="1" ht="16.899999999999999" customHeight="1">
      <c r="A68" s="359">
        <v>66</v>
      </c>
      <c r="B68" s="360" t="s">
        <v>446</v>
      </c>
      <c r="C68" s="361">
        <f t="shared" ref="C68:H68" si="18">C69+C70</f>
        <v>0</v>
      </c>
      <c r="D68" s="361">
        <f t="shared" si="18"/>
        <v>0</v>
      </c>
      <c r="E68" s="361">
        <f t="shared" si="18"/>
        <v>0</v>
      </c>
      <c r="F68" s="361">
        <f t="shared" si="18"/>
        <v>0</v>
      </c>
      <c r="G68" s="361">
        <f t="shared" si="18"/>
        <v>0</v>
      </c>
      <c r="H68" s="361">
        <f t="shared" si="18"/>
        <v>0</v>
      </c>
    </row>
    <row r="69" spans="1:8" customFormat="1" ht="16.899999999999999" customHeight="1">
      <c r="A69" s="350">
        <v>51</v>
      </c>
      <c r="B69" s="351" t="s">
        <v>447</v>
      </c>
      <c r="C69" s="352">
        <v>0</v>
      </c>
      <c r="D69" s="352">
        <v>0</v>
      </c>
      <c r="E69" s="352">
        <v>0</v>
      </c>
      <c r="F69" s="352">
        <v>0</v>
      </c>
      <c r="G69" s="352">
        <v>0</v>
      </c>
      <c r="H69" s="352">
        <v>0</v>
      </c>
    </row>
    <row r="70" spans="1:8" customFormat="1" ht="16.899999999999999" customHeight="1">
      <c r="A70" s="350" t="s">
        <v>417</v>
      </c>
      <c r="B70" s="351" t="s">
        <v>448</v>
      </c>
      <c r="C70" s="352">
        <v>0</v>
      </c>
      <c r="D70" s="352">
        <v>0</v>
      </c>
      <c r="E70" s="352">
        <v>0</v>
      </c>
      <c r="F70" s="352">
        <v>0</v>
      </c>
      <c r="G70" s="352">
        <v>0</v>
      </c>
      <c r="H70" s="352">
        <v>0</v>
      </c>
    </row>
    <row r="71" spans="1:8" customFormat="1" ht="16.899999999999999" customHeight="1">
      <c r="A71" s="359">
        <v>68</v>
      </c>
      <c r="B71" s="360" t="s">
        <v>449</v>
      </c>
      <c r="C71" s="361">
        <f t="shared" ref="C71:H71" si="19">C72+C73</f>
        <v>0</v>
      </c>
      <c r="D71" s="361">
        <f t="shared" si="19"/>
        <v>0</v>
      </c>
      <c r="E71" s="361">
        <f t="shared" si="19"/>
        <v>0</v>
      </c>
      <c r="F71" s="361">
        <f t="shared" si="19"/>
        <v>0</v>
      </c>
      <c r="G71" s="361">
        <f t="shared" si="19"/>
        <v>0</v>
      </c>
      <c r="H71" s="361">
        <f t="shared" si="19"/>
        <v>0</v>
      </c>
    </row>
    <row r="72" spans="1:8" customFormat="1" ht="16.899999999999999" customHeight="1">
      <c r="A72" s="350">
        <v>52</v>
      </c>
      <c r="B72" s="351" t="s">
        <v>447</v>
      </c>
      <c r="C72" s="352">
        <v>0</v>
      </c>
      <c r="D72" s="352">
        <v>0</v>
      </c>
      <c r="E72" s="352">
        <v>0</v>
      </c>
      <c r="F72" s="352">
        <v>0</v>
      </c>
      <c r="G72" s="352">
        <v>0</v>
      </c>
      <c r="H72" s="352">
        <v>0</v>
      </c>
    </row>
    <row r="73" spans="1:8" customFormat="1" ht="16.899999999999999" customHeight="1">
      <c r="A73" s="350" t="s">
        <v>417</v>
      </c>
      <c r="B73" s="351" t="s">
        <v>448</v>
      </c>
      <c r="C73" s="352">
        <v>0</v>
      </c>
      <c r="D73" s="352">
        <v>0</v>
      </c>
      <c r="E73" s="352">
        <v>0</v>
      </c>
      <c r="F73" s="352">
        <v>0</v>
      </c>
      <c r="G73" s="352">
        <v>0</v>
      </c>
      <c r="H73" s="352">
        <v>0</v>
      </c>
    </row>
    <row r="74" spans="1:8" customFormat="1" ht="16.899999999999999" customHeight="1">
      <c r="A74" s="359">
        <v>69</v>
      </c>
      <c r="B74" s="360" t="s">
        <v>450</v>
      </c>
      <c r="C74" s="361">
        <f t="shared" ref="C74:H74" si="20">C75+C76</f>
        <v>0</v>
      </c>
      <c r="D74" s="361">
        <f t="shared" si="20"/>
        <v>0</v>
      </c>
      <c r="E74" s="361">
        <f t="shared" si="20"/>
        <v>0</v>
      </c>
      <c r="F74" s="361">
        <f t="shared" si="20"/>
        <v>0</v>
      </c>
      <c r="G74" s="361">
        <f t="shared" si="20"/>
        <v>0</v>
      </c>
      <c r="H74" s="361">
        <f t="shared" si="20"/>
        <v>0</v>
      </c>
    </row>
    <row r="75" spans="1:8" customFormat="1" ht="16.899999999999999" customHeight="1">
      <c r="A75" s="350">
        <v>53</v>
      </c>
      <c r="B75" s="351" t="s">
        <v>447</v>
      </c>
      <c r="C75" s="352">
        <v>0</v>
      </c>
      <c r="D75" s="352">
        <v>0</v>
      </c>
      <c r="E75" s="352">
        <v>0</v>
      </c>
      <c r="F75" s="352">
        <v>0</v>
      </c>
      <c r="G75" s="352">
        <v>0</v>
      </c>
      <c r="H75" s="352">
        <v>0</v>
      </c>
    </row>
    <row r="76" spans="1:8" customFormat="1" ht="16.899999999999999" customHeight="1">
      <c r="A76" s="350" t="s">
        <v>417</v>
      </c>
      <c r="B76" s="351" t="s">
        <v>448</v>
      </c>
      <c r="C76" s="352">
        <v>0</v>
      </c>
      <c r="D76" s="352">
        <v>0</v>
      </c>
      <c r="E76" s="352">
        <v>0</v>
      </c>
      <c r="F76" s="352">
        <v>0</v>
      </c>
      <c r="G76" s="352">
        <v>0</v>
      </c>
      <c r="H76" s="352">
        <v>0</v>
      </c>
    </row>
    <row r="77" spans="1:8" customFormat="1" ht="16.899999999999999" customHeight="1">
      <c r="A77" s="359" t="s">
        <v>417</v>
      </c>
      <c r="B77" s="360" t="s">
        <v>451</v>
      </c>
      <c r="C77" s="361">
        <f t="shared" ref="C77:H77" si="21">C78+C79</f>
        <v>0</v>
      </c>
      <c r="D77" s="361">
        <f t="shared" si="21"/>
        <v>0</v>
      </c>
      <c r="E77" s="361">
        <f t="shared" si="21"/>
        <v>0</v>
      </c>
      <c r="F77" s="361">
        <f t="shared" si="21"/>
        <v>0</v>
      </c>
      <c r="G77" s="361">
        <f t="shared" si="21"/>
        <v>0</v>
      </c>
      <c r="H77" s="361">
        <f t="shared" si="21"/>
        <v>0</v>
      </c>
    </row>
    <row r="78" spans="1:8" customFormat="1" ht="16.899999999999999" customHeight="1">
      <c r="A78" s="350" t="s">
        <v>417</v>
      </c>
      <c r="B78" s="351" t="s">
        <v>447</v>
      </c>
      <c r="C78" s="352">
        <v>0</v>
      </c>
      <c r="D78" s="352">
        <v>0</v>
      </c>
      <c r="E78" s="352">
        <v>0</v>
      </c>
      <c r="F78" s="352">
        <v>0</v>
      </c>
      <c r="G78" s="352">
        <v>0</v>
      </c>
      <c r="H78" s="352">
        <v>0</v>
      </c>
    </row>
    <row r="79" spans="1:8" customFormat="1" ht="16.899999999999999" customHeight="1">
      <c r="A79" s="350" t="s">
        <v>417</v>
      </c>
      <c r="B79" s="351" t="s">
        <v>448</v>
      </c>
      <c r="C79" s="352">
        <v>0</v>
      </c>
      <c r="D79" s="352">
        <v>0</v>
      </c>
      <c r="E79" s="352">
        <v>0</v>
      </c>
      <c r="F79" s="352">
        <v>0</v>
      </c>
      <c r="G79" s="352">
        <v>0</v>
      </c>
      <c r="H79" s="352">
        <v>0</v>
      </c>
    </row>
    <row r="80" spans="1:8" customFormat="1" ht="16.899999999999999" customHeight="1">
      <c r="A80" s="359">
        <v>71</v>
      </c>
      <c r="B80" s="360" t="s">
        <v>452</v>
      </c>
      <c r="C80" s="361">
        <f t="shared" ref="C80:H80" si="22">C81+C82</f>
        <v>0</v>
      </c>
      <c r="D80" s="361">
        <f t="shared" si="22"/>
        <v>0</v>
      </c>
      <c r="E80" s="361">
        <f t="shared" si="22"/>
        <v>0</v>
      </c>
      <c r="F80" s="361">
        <f t="shared" si="22"/>
        <v>0</v>
      </c>
      <c r="G80" s="361">
        <f t="shared" si="22"/>
        <v>0</v>
      </c>
      <c r="H80" s="361">
        <f t="shared" si="22"/>
        <v>0</v>
      </c>
    </row>
    <row r="81" spans="1:8" customFormat="1" ht="16.899999999999999" customHeight="1">
      <c r="A81" s="350">
        <v>54</v>
      </c>
      <c r="B81" s="351" t="s">
        <v>447</v>
      </c>
      <c r="C81" s="352">
        <v>0</v>
      </c>
      <c r="D81" s="352">
        <v>0</v>
      </c>
      <c r="E81" s="352">
        <v>0</v>
      </c>
      <c r="F81" s="352">
        <v>0</v>
      </c>
      <c r="G81" s="352">
        <v>0</v>
      </c>
      <c r="H81" s="352">
        <v>0</v>
      </c>
    </row>
    <row r="82" spans="1:8" customFormat="1" ht="16.899999999999999" customHeight="1">
      <c r="A82" s="350" t="s">
        <v>417</v>
      </c>
      <c r="B82" s="351" t="s">
        <v>448</v>
      </c>
      <c r="C82" s="352">
        <v>0</v>
      </c>
      <c r="D82" s="352">
        <v>0</v>
      </c>
      <c r="E82" s="352">
        <v>0</v>
      </c>
      <c r="F82" s="352">
        <v>0</v>
      </c>
      <c r="G82" s="352">
        <v>0</v>
      </c>
      <c r="H82" s="352">
        <v>0</v>
      </c>
    </row>
    <row r="83" spans="1:8" customFormat="1" ht="16.899999999999999" customHeight="1">
      <c r="A83" s="359">
        <v>72</v>
      </c>
      <c r="B83" s="360" t="s">
        <v>453</v>
      </c>
      <c r="C83" s="361">
        <v>0</v>
      </c>
      <c r="D83" s="361">
        <v>0</v>
      </c>
      <c r="E83" s="361">
        <v>0</v>
      </c>
      <c r="F83" s="361">
        <v>0</v>
      </c>
      <c r="G83" s="361">
        <v>0</v>
      </c>
      <c r="H83" s="361">
        <v>0</v>
      </c>
    </row>
    <row r="84" spans="1:8" customFormat="1" ht="16.899999999999999" customHeight="1">
      <c r="A84" s="359" t="s">
        <v>417</v>
      </c>
      <c r="B84" s="360" t="s">
        <v>454</v>
      </c>
      <c r="C84" s="361">
        <f t="shared" ref="C84:H84" si="23">C85-C86</f>
        <v>0</v>
      </c>
      <c r="D84" s="361">
        <f t="shared" si="23"/>
        <v>0</v>
      </c>
      <c r="E84" s="361">
        <f t="shared" si="23"/>
        <v>0</v>
      </c>
      <c r="F84" s="361">
        <f t="shared" si="23"/>
        <v>0</v>
      </c>
      <c r="G84" s="361">
        <f t="shared" si="23"/>
        <v>0</v>
      </c>
      <c r="H84" s="361">
        <f t="shared" si="23"/>
        <v>0</v>
      </c>
    </row>
    <row r="85" spans="1:8" customFormat="1" ht="16.899999999999999" customHeight="1">
      <c r="A85" s="350" t="s">
        <v>417</v>
      </c>
      <c r="B85" s="351" t="s">
        <v>447</v>
      </c>
      <c r="C85" s="352">
        <v>0</v>
      </c>
      <c r="D85" s="352">
        <v>0</v>
      </c>
      <c r="E85" s="352">
        <v>0</v>
      </c>
      <c r="F85" s="352">
        <v>0</v>
      </c>
      <c r="G85" s="352">
        <v>0</v>
      </c>
      <c r="H85" s="352">
        <v>0</v>
      </c>
    </row>
    <row r="86" spans="1:8" customFormat="1" ht="16.899999999999999" customHeight="1">
      <c r="A86" s="350" t="s">
        <v>417</v>
      </c>
      <c r="B86" s="351" t="s">
        <v>448</v>
      </c>
      <c r="C86" s="352">
        <v>0</v>
      </c>
      <c r="D86" s="352">
        <v>0</v>
      </c>
      <c r="E86" s="352">
        <v>0</v>
      </c>
      <c r="F86" s="352">
        <v>0</v>
      </c>
      <c r="G86" s="352">
        <v>0</v>
      </c>
      <c r="H86" s="352">
        <v>0</v>
      </c>
    </row>
    <row r="87" spans="1:8" ht="16.899999999999999" customHeight="1">
      <c r="A87" s="353">
        <v>70</v>
      </c>
      <c r="B87" s="354" t="s">
        <v>455</v>
      </c>
      <c r="C87" s="355">
        <f t="shared" ref="C87:H87" si="24">C88+C94+C119+C127</f>
        <v>250498.8</v>
      </c>
      <c r="D87" s="355">
        <f t="shared" ca="1" si="24"/>
        <v>199393.93710259727</v>
      </c>
      <c r="E87" s="355">
        <f t="shared" ca="1" si="24"/>
        <v>411816.41578246705</v>
      </c>
      <c r="F87" s="355">
        <f t="shared" ca="1" si="24"/>
        <v>635465.22478700243</v>
      </c>
      <c r="G87" s="355">
        <f t="shared" ca="1" si="24"/>
        <v>881051.37066076091</v>
      </c>
      <c r="H87" s="355">
        <f t="shared" ca="1" si="24"/>
        <v>1146836.8466008473</v>
      </c>
    </row>
    <row r="88" spans="1:8" customFormat="1" ht="16.899999999999999" customHeight="1">
      <c r="A88" s="356">
        <v>80</v>
      </c>
      <c r="B88" s="357" t="s">
        <v>456</v>
      </c>
      <c r="C88" s="358">
        <f t="shared" ref="C88:H88" si="25">C89+C90+C91+C92+C93</f>
        <v>0</v>
      </c>
      <c r="D88" s="358">
        <f t="shared" si="25"/>
        <v>0</v>
      </c>
      <c r="E88" s="358">
        <f t="shared" si="25"/>
        <v>0</v>
      </c>
      <c r="F88" s="358">
        <f t="shared" si="25"/>
        <v>0</v>
      </c>
      <c r="G88" s="358">
        <f t="shared" si="25"/>
        <v>0</v>
      </c>
      <c r="H88" s="358">
        <f t="shared" si="25"/>
        <v>0</v>
      </c>
    </row>
    <row r="89" spans="1:8" customFormat="1" ht="16.899999999999999" customHeight="1">
      <c r="A89" s="350">
        <v>81</v>
      </c>
      <c r="B89" s="351" t="s">
        <v>457</v>
      </c>
      <c r="C89" s="352">
        <v>0</v>
      </c>
      <c r="D89" s="352">
        <v>0</v>
      </c>
      <c r="E89" s="352">
        <v>0</v>
      </c>
      <c r="F89" s="352">
        <v>0</v>
      </c>
      <c r="G89" s="352">
        <v>0</v>
      </c>
      <c r="H89" s="352">
        <v>0</v>
      </c>
    </row>
    <row r="90" spans="1:8" customFormat="1" ht="16.899999999999999" customHeight="1">
      <c r="A90" s="350">
        <v>83</v>
      </c>
      <c r="B90" s="351" t="s">
        <v>458</v>
      </c>
      <c r="C90" s="352">
        <v>0</v>
      </c>
      <c r="D90" s="352">
        <v>0</v>
      </c>
      <c r="E90" s="352">
        <v>0</v>
      </c>
      <c r="F90" s="352">
        <v>0</v>
      </c>
      <c r="G90" s="352">
        <v>0</v>
      </c>
      <c r="H90" s="352">
        <v>0</v>
      </c>
    </row>
    <row r="91" spans="1:8" customFormat="1" ht="16.899999999999999" customHeight="1">
      <c r="A91" s="350">
        <v>84</v>
      </c>
      <c r="B91" s="351" t="s">
        <v>459</v>
      </c>
      <c r="C91" s="352">
        <v>0</v>
      </c>
      <c r="D91" s="352">
        <v>0</v>
      </c>
      <c r="E91" s="352">
        <v>0</v>
      </c>
      <c r="F91" s="352">
        <v>0</v>
      </c>
      <c r="G91" s="352">
        <v>0</v>
      </c>
      <c r="H91" s="352">
        <v>0</v>
      </c>
    </row>
    <row r="92" spans="1:8" customFormat="1" ht="16.899999999999999" customHeight="1">
      <c r="A92" s="350">
        <v>85</v>
      </c>
      <c r="B92" s="351" t="s">
        <v>460</v>
      </c>
      <c r="C92" s="352">
        <f>'Plur. Gen. C.'!I15</f>
        <v>0</v>
      </c>
      <c r="D92" s="352">
        <f>'Plur. Gen. C.'!J15</f>
        <v>0</v>
      </c>
      <c r="E92" s="352">
        <f>'Plur. Gen. C.'!N15</f>
        <v>0</v>
      </c>
      <c r="F92" s="352">
        <f>'Plur. Gen. C.'!R15</f>
        <v>0</v>
      </c>
      <c r="G92" s="352">
        <f>'Plur. Gen. C.'!V15</f>
        <v>0</v>
      </c>
      <c r="H92" s="352">
        <f>'Plur. Gen. C.'!Z15</f>
        <v>0</v>
      </c>
    </row>
    <row r="93" spans="1:8" customFormat="1" ht="16.899999999999999" customHeight="1">
      <c r="A93" s="350">
        <v>86</v>
      </c>
      <c r="B93" s="351" t="s">
        <v>461</v>
      </c>
      <c r="C93" s="352">
        <v>0</v>
      </c>
      <c r="D93" s="352">
        <v>0</v>
      </c>
      <c r="E93" s="352">
        <v>0</v>
      </c>
      <c r="F93" s="352">
        <v>0</v>
      </c>
      <c r="G93" s="352">
        <v>0</v>
      </c>
      <c r="H93" s="352">
        <v>0</v>
      </c>
    </row>
    <row r="94" spans="1:8" ht="16.899999999999999" customHeight="1">
      <c r="A94" s="356">
        <v>90</v>
      </c>
      <c r="B94" s="357" t="s">
        <v>462</v>
      </c>
      <c r="C94" s="358">
        <f t="shared" ref="C94:H94" si="26">C95+C98+C101+C104+C107+C110+C113+C116</f>
        <v>0</v>
      </c>
      <c r="D94" s="358">
        <f t="shared" si="26"/>
        <v>0</v>
      </c>
      <c r="E94" s="358">
        <f t="shared" si="26"/>
        <v>0</v>
      </c>
      <c r="F94" s="358">
        <f t="shared" si="26"/>
        <v>0</v>
      </c>
      <c r="G94" s="358">
        <f t="shared" si="26"/>
        <v>0</v>
      </c>
      <c r="H94" s="358">
        <f t="shared" si="26"/>
        <v>0</v>
      </c>
    </row>
    <row r="95" spans="1:8" ht="16.899999999999999" customHeight="1">
      <c r="A95" s="359">
        <v>102</v>
      </c>
      <c r="B95" s="360" t="s">
        <v>463</v>
      </c>
      <c r="C95" s="361">
        <f t="shared" ref="C95:H95" si="27">C96+C97</f>
        <v>0</v>
      </c>
      <c r="D95" s="361">
        <f t="shared" si="27"/>
        <v>0</v>
      </c>
      <c r="E95" s="361">
        <f t="shared" si="27"/>
        <v>0</v>
      </c>
      <c r="F95" s="361">
        <f t="shared" si="27"/>
        <v>0</v>
      </c>
      <c r="G95" s="361">
        <f t="shared" si="27"/>
        <v>0</v>
      </c>
      <c r="H95" s="361">
        <f t="shared" si="27"/>
        <v>0</v>
      </c>
    </row>
    <row r="96" spans="1:8" ht="16.899999999999999" customHeight="1">
      <c r="A96" s="350" t="s">
        <v>417</v>
      </c>
      <c r="B96" s="351" t="s">
        <v>464</v>
      </c>
      <c r="C96" s="352">
        <v>0</v>
      </c>
      <c r="D96" s="352">
        <f>'CF Plur'!C20</f>
        <v>0</v>
      </c>
      <c r="E96" s="352">
        <f>'CF Plur'!E20</f>
        <v>0</v>
      </c>
      <c r="F96" s="352">
        <f>'CF Plur'!G20</f>
        <v>0</v>
      </c>
      <c r="G96" s="352">
        <f>'CF Plur'!I20</f>
        <v>0</v>
      </c>
      <c r="H96" s="352">
        <f>'CF Plur'!K20</f>
        <v>0</v>
      </c>
    </row>
    <row r="97" spans="1:8" customFormat="1" ht="16.899999999999999" customHeight="1">
      <c r="A97" s="350">
        <v>103</v>
      </c>
      <c r="B97" s="351" t="s">
        <v>465</v>
      </c>
      <c r="C97" s="352">
        <v>0</v>
      </c>
      <c r="D97" s="352">
        <v>0</v>
      </c>
      <c r="E97" s="352">
        <v>0</v>
      </c>
      <c r="F97" s="352">
        <v>0</v>
      </c>
      <c r="G97" s="352">
        <v>0</v>
      </c>
      <c r="H97" s="352">
        <v>0</v>
      </c>
    </row>
    <row r="98" spans="1:8" customFormat="1" ht="16.899999999999999" customHeight="1">
      <c r="A98" s="359">
        <v>91</v>
      </c>
      <c r="B98" s="360" t="s">
        <v>466</v>
      </c>
      <c r="C98" s="361">
        <f t="shared" ref="C98:H98" si="28">C99+C100</f>
        <v>0</v>
      </c>
      <c r="D98" s="361">
        <f t="shared" si="28"/>
        <v>0</v>
      </c>
      <c r="E98" s="361">
        <f t="shared" si="28"/>
        <v>0</v>
      </c>
      <c r="F98" s="361">
        <f t="shared" si="28"/>
        <v>0</v>
      </c>
      <c r="G98" s="361">
        <f t="shared" si="28"/>
        <v>0</v>
      </c>
      <c r="H98" s="361">
        <f t="shared" si="28"/>
        <v>0</v>
      </c>
    </row>
    <row r="99" spans="1:8" customFormat="1" ht="16.899999999999999" customHeight="1">
      <c r="A99" s="350" t="s">
        <v>417</v>
      </c>
      <c r="B99" s="351" t="s">
        <v>464</v>
      </c>
      <c r="C99" s="352">
        <v>0</v>
      </c>
      <c r="D99" s="352">
        <v>0</v>
      </c>
      <c r="E99" s="352">
        <v>0</v>
      </c>
      <c r="F99" s="352">
        <v>0</v>
      </c>
      <c r="G99" s="352">
        <v>0</v>
      </c>
      <c r="H99" s="352">
        <v>0</v>
      </c>
    </row>
    <row r="100" spans="1:8" customFormat="1" ht="16.899999999999999" customHeight="1">
      <c r="A100" s="350">
        <v>92</v>
      </c>
      <c r="B100" s="351" t="s">
        <v>465</v>
      </c>
      <c r="C100" s="352">
        <v>0</v>
      </c>
      <c r="D100" s="352">
        <v>0</v>
      </c>
      <c r="E100" s="352">
        <v>0</v>
      </c>
      <c r="F100" s="352">
        <v>0</v>
      </c>
      <c r="G100" s="352">
        <v>0</v>
      </c>
      <c r="H100" s="352">
        <v>0</v>
      </c>
    </row>
    <row r="101" spans="1:8" customFormat="1" ht="16.899999999999999" customHeight="1">
      <c r="A101" s="359">
        <v>93</v>
      </c>
      <c r="B101" s="360" t="s">
        <v>467</v>
      </c>
      <c r="C101" s="361">
        <f t="shared" ref="C101:H101" si="29">C102+C103</f>
        <v>0</v>
      </c>
      <c r="D101" s="361">
        <f t="shared" si="29"/>
        <v>0</v>
      </c>
      <c r="E101" s="361">
        <f t="shared" si="29"/>
        <v>0</v>
      </c>
      <c r="F101" s="361">
        <f t="shared" si="29"/>
        <v>0</v>
      </c>
      <c r="G101" s="361">
        <f t="shared" si="29"/>
        <v>0</v>
      </c>
      <c r="H101" s="361">
        <f t="shared" si="29"/>
        <v>0</v>
      </c>
    </row>
    <row r="102" spans="1:8" customFormat="1" ht="16.899999999999999" customHeight="1">
      <c r="A102" s="350" t="s">
        <v>417</v>
      </c>
      <c r="B102" s="351" t="s">
        <v>464</v>
      </c>
      <c r="C102" s="352">
        <v>0</v>
      </c>
      <c r="D102" s="352">
        <v>0</v>
      </c>
      <c r="E102" s="352">
        <v>0</v>
      </c>
      <c r="F102" s="352">
        <v>0</v>
      </c>
      <c r="G102" s="352">
        <v>0</v>
      </c>
      <c r="H102" s="352">
        <v>0</v>
      </c>
    </row>
    <row r="103" spans="1:8" customFormat="1" ht="16.899999999999999" customHeight="1">
      <c r="A103" s="350">
        <v>94</v>
      </c>
      <c r="B103" s="351" t="s">
        <v>465</v>
      </c>
      <c r="C103" s="352">
        <v>0</v>
      </c>
      <c r="D103" s="352">
        <v>0</v>
      </c>
      <c r="E103" s="352">
        <v>0</v>
      </c>
      <c r="F103" s="352">
        <v>0</v>
      </c>
      <c r="G103" s="352">
        <v>0</v>
      </c>
      <c r="H103" s="352">
        <v>0</v>
      </c>
    </row>
    <row r="104" spans="1:8" customFormat="1" ht="16.899999999999999" customHeight="1">
      <c r="A104" s="359">
        <v>95</v>
      </c>
      <c r="B104" s="360" t="s">
        <v>468</v>
      </c>
      <c r="C104" s="361">
        <f t="shared" ref="C104:H104" si="30">C105+C106</f>
        <v>0</v>
      </c>
      <c r="D104" s="361">
        <f t="shared" si="30"/>
        <v>0</v>
      </c>
      <c r="E104" s="361">
        <f t="shared" si="30"/>
        <v>0</v>
      </c>
      <c r="F104" s="361">
        <f t="shared" si="30"/>
        <v>0</v>
      </c>
      <c r="G104" s="361">
        <f t="shared" si="30"/>
        <v>0</v>
      </c>
      <c r="H104" s="361">
        <f t="shared" si="30"/>
        <v>0</v>
      </c>
    </row>
    <row r="105" spans="1:8" customFormat="1" ht="16.899999999999999" customHeight="1">
      <c r="A105" s="350" t="s">
        <v>417</v>
      </c>
      <c r="B105" s="351" t="s">
        <v>464</v>
      </c>
      <c r="C105" s="352">
        <v>0</v>
      </c>
      <c r="D105" s="352">
        <v>0</v>
      </c>
      <c r="E105" s="352">
        <v>0</v>
      </c>
      <c r="F105" s="352">
        <v>0</v>
      </c>
      <c r="G105" s="352">
        <v>0</v>
      </c>
      <c r="H105" s="352">
        <v>0</v>
      </c>
    </row>
    <row r="106" spans="1:8" customFormat="1" ht="16.899999999999999" customHeight="1">
      <c r="A106" s="350">
        <v>96</v>
      </c>
      <c r="B106" s="351" t="s">
        <v>465</v>
      </c>
      <c r="C106" s="352">
        <v>0</v>
      </c>
      <c r="D106" s="352">
        <v>0</v>
      </c>
      <c r="E106" s="352">
        <v>0</v>
      </c>
      <c r="F106" s="352">
        <v>0</v>
      </c>
      <c r="G106" s="352">
        <v>0</v>
      </c>
      <c r="H106" s="352">
        <v>0</v>
      </c>
    </row>
    <row r="107" spans="1:8" customFormat="1" ht="16.899999999999999" customHeight="1">
      <c r="A107" s="359" t="s">
        <v>417</v>
      </c>
      <c r="B107" s="360" t="s">
        <v>469</v>
      </c>
      <c r="C107" s="361">
        <f t="shared" ref="C107:H107" si="31">C108+C109</f>
        <v>0</v>
      </c>
      <c r="D107" s="361">
        <f t="shared" si="31"/>
        <v>0</v>
      </c>
      <c r="E107" s="361">
        <f t="shared" si="31"/>
        <v>0</v>
      </c>
      <c r="F107" s="361">
        <f t="shared" si="31"/>
        <v>0</v>
      </c>
      <c r="G107" s="361">
        <f t="shared" si="31"/>
        <v>0</v>
      </c>
      <c r="H107" s="361">
        <f t="shared" si="31"/>
        <v>0</v>
      </c>
    </row>
    <row r="108" spans="1:8" customFormat="1" ht="16.899999999999999" customHeight="1">
      <c r="A108" s="350" t="s">
        <v>417</v>
      </c>
      <c r="B108" s="351" t="s">
        <v>464</v>
      </c>
      <c r="C108" s="352">
        <v>0</v>
      </c>
      <c r="D108" s="352">
        <v>0</v>
      </c>
      <c r="E108" s="352">
        <v>0</v>
      </c>
      <c r="F108" s="352">
        <v>0</v>
      </c>
      <c r="G108" s="352">
        <v>0</v>
      </c>
      <c r="H108" s="352">
        <v>0</v>
      </c>
    </row>
    <row r="109" spans="1:8" customFormat="1" ht="16.899999999999999" customHeight="1">
      <c r="A109" s="350" t="s">
        <v>417</v>
      </c>
      <c r="B109" s="351" t="s">
        <v>465</v>
      </c>
      <c r="C109" s="352">
        <v>0</v>
      </c>
      <c r="D109" s="352">
        <v>0</v>
      </c>
      <c r="E109" s="352">
        <v>0</v>
      </c>
      <c r="F109" s="352">
        <v>0</v>
      </c>
      <c r="G109" s="352">
        <v>0</v>
      </c>
      <c r="H109" s="352">
        <v>0</v>
      </c>
    </row>
    <row r="110" spans="1:8" customFormat="1" ht="16.899999999999999" customHeight="1">
      <c r="A110" s="359">
        <v>1200</v>
      </c>
      <c r="B110" s="360" t="s">
        <v>470</v>
      </c>
      <c r="C110" s="361">
        <f t="shared" ref="C110:H110" si="32">C111+C112</f>
        <v>0</v>
      </c>
      <c r="D110" s="361">
        <f t="shared" si="32"/>
        <v>0</v>
      </c>
      <c r="E110" s="361">
        <f t="shared" si="32"/>
        <v>0</v>
      </c>
      <c r="F110" s="361">
        <f t="shared" si="32"/>
        <v>0</v>
      </c>
      <c r="G110" s="361">
        <f t="shared" si="32"/>
        <v>0</v>
      </c>
      <c r="H110" s="361">
        <f t="shared" si="32"/>
        <v>0</v>
      </c>
    </row>
    <row r="111" spans="1:8" customFormat="1" ht="16.899999999999999" customHeight="1">
      <c r="A111" s="350" t="s">
        <v>417</v>
      </c>
      <c r="B111" s="351" t="s">
        <v>464</v>
      </c>
      <c r="C111" s="352">
        <v>0</v>
      </c>
      <c r="D111" s="352">
        <v>0</v>
      </c>
      <c r="E111" s="352">
        <v>0</v>
      </c>
      <c r="F111" s="352">
        <v>0</v>
      </c>
      <c r="G111" s="352">
        <v>0</v>
      </c>
      <c r="H111" s="352">
        <v>0</v>
      </c>
    </row>
    <row r="112" spans="1:8" customFormat="1" ht="16.899999999999999" customHeight="1">
      <c r="A112" s="350">
        <v>11250</v>
      </c>
      <c r="B112" s="351" t="s">
        <v>465</v>
      </c>
      <c r="C112" s="352">
        <v>0</v>
      </c>
      <c r="D112" s="352">
        <v>0</v>
      </c>
      <c r="E112" s="352">
        <v>0</v>
      </c>
      <c r="F112" s="352">
        <v>0</v>
      </c>
      <c r="G112" s="352">
        <v>0</v>
      </c>
      <c r="H112" s="352">
        <v>0</v>
      </c>
    </row>
    <row r="113" spans="1:8" customFormat="1" ht="16.899999999999999" customHeight="1">
      <c r="A113" s="359">
        <v>11300</v>
      </c>
      <c r="B113" s="360" t="s">
        <v>471</v>
      </c>
      <c r="C113" s="361">
        <f t="shared" ref="C113:H113" si="33">C114+C115</f>
        <v>0</v>
      </c>
      <c r="D113" s="361">
        <f t="shared" si="33"/>
        <v>0</v>
      </c>
      <c r="E113" s="361">
        <f t="shared" si="33"/>
        <v>0</v>
      </c>
      <c r="F113" s="361">
        <f t="shared" si="33"/>
        <v>0</v>
      </c>
      <c r="G113" s="361">
        <f t="shared" si="33"/>
        <v>0</v>
      </c>
      <c r="H113" s="361">
        <f t="shared" si="33"/>
        <v>0</v>
      </c>
    </row>
    <row r="114" spans="1:8" customFormat="1" ht="16.899999999999999" customHeight="1">
      <c r="A114" s="350" t="s">
        <v>417</v>
      </c>
      <c r="B114" s="351" t="s">
        <v>464</v>
      </c>
      <c r="C114" s="352">
        <v>0</v>
      </c>
      <c r="D114" s="352">
        <v>0</v>
      </c>
      <c r="E114" s="352">
        <v>0</v>
      </c>
      <c r="F114" s="352">
        <v>0</v>
      </c>
      <c r="G114" s="352">
        <v>0</v>
      </c>
      <c r="H114" s="352">
        <v>0</v>
      </c>
    </row>
    <row r="115" spans="1:8" customFormat="1" ht="16.899999999999999" customHeight="1">
      <c r="A115" s="350">
        <v>11350</v>
      </c>
      <c r="B115" s="351" t="s">
        <v>465</v>
      </c>
      <c r="C115" s="352">
        <v>0</v>
      </c>
      <c r="D115" s="352">
        <v>0</v>
      </c>
      <c r="E115" s="352">
        <v>0</v>
      </c>
      <c r="F115" s="352">
        <v>0</v>
      </c>
      <c r="G115" s="352">
        <v>0</v>
      </c>
      <c r="H115" s="352">
        <v>0</v>
      </c>
    </row>
    <row r="116" spans="1:8" customFormat="1" ht="16.899999999999999" customHeight="1">
      <c r="A116" s="359">
        <v>97</v>
      </c>
      <c r="B116" s="360" t="s">
        <v>472</v>
      </c>
      <c r="C116" s="361">
        <f t="shared" ref="C116:H116" si="34">C117+C118</f>
        <v>0</v>
      </c>
      <c r="D116" s="361">
        <f t="shared" si="34"/>
        <v>0</v>
      </c>
      <c r="E116" s="361">
        <f t="shared" si="34"/>
        <v>0</v>
      </c>
      <c r="F116" s="361">
        <f t="shared" si="34"/>
        <v>0</v>
      </c>
      <c r="G116" s="361">
        <f t="shared" si="34"/>
        <v>0</v>
      </c>
      <c r="H116" s="361">
        <f t="shared" si="34"/>
        <v>0</v>
      </c>
    </row>
    <row r="117" spans="1:8" customFormat="1" ht="16.899999999999999" customHeight="1">
      <c r="A117" s="350" t="s">
        <v>417</v>
      </c>
      <c r="B117" s="351" t="s">
        <v>464</v>
      </c>
      <c r="C117" s="352">
        <v>0</v>
      </c>
      <c r="D117" s="352">
        <v>0</v>
      </c>
      <c r="E117" s="352">
        <v>0</v>
      </c>
      <c r="F117" s="352">
        <v>0</v>
      </c>
      <c r="G117" s="352">
        <v>0</v>
      </c>
      <c r="H117" s="352">
        <v>0</v>
      </c>
    </row>
    <row r="118" spans="1:8" customFormat="1" ht="16.899999999999999" customHeight="1">
      <c r="A118" s="350">
        <v>98</v>
      </c>
      <c r="B118" s="351" t="s">
        <v>465</v>
      </c>
      <c r="C118" s="352">
        <v>0</v>
      </c>
      <c r="D118" s="352">
        <v>0</v>
      </c>
      <c r="E118" s="352">
        <v>0</v>
      </c>
      <c r="F118" s="352">
        <v>0</v>
      </c>
      <c r="G118" s="352">
        <v>0</v>
      </c>
      <c r="H118" s="352">
        <v>0</v>
      </c>
    </row>
    <row r="119" spans="1:8" customFormat="1" ht="16.899999999999999" customHeight="1">
      <c r="A119" s="356">
        <v>110</v>
      </c>
      <c r="B119" s="357" t="s">
        <v>473</v>
      </c>
      <c r="C119" s="358">
        <f t="shared" ref="C119:H119" si="35">C120+C121+C122+C123+C124+C125+C126</f>
        <v>0</v>
      </c>
      <c r="D119" s="358">
        <f t="shared" si="35"/>
        <v>0</v>
      </c>
      <c r="E119" s="358">
        <f t="shared" si="35"/>
        <v>0</v>
      </c>
      <c r="F119" s="358">
        <f t="shared" si="35"/>
        <v>0</v>
      </c>
      <c r="G119" s="358">
        <f t="shared" si="35"/>
        <v>0</v>
      </c>
      <c r="H119" s="358">
        <f t="shared" si="35"/>
        <v>0</v>
      </c>
    </row>
    <row r="120" spans="1:8" customFormat="1" ht="16.899999999999999" customHeight="1">
      <c r="A120" s="350">
        <v>111</v>
      </c>
      <c r="B120" s="351" t="s">
        <v>474</v>
      </c>
      <c r="C120" s="352">
        <v>0</v>
      </c>
      <c r="D120" s="352">
        <v>0</v>
      </c>
      <c r="E120" s="352">
        <v>0</v>
      </c>
      <c r="F120" s="352">
        <v>0</v>
      </c>
      <c r="G120" s="352">
        <v>0</v>
      </c>
      <c r="H120" s="352">
        <v>0</v>
      </c>
    </row>
    <row r="121" spans="1:8" customFormat="1" ht="16.899999999999999" customHeight="1">
      <c r="A121" s="350">
        <v>112</v>
      </c>
      <c r="B121" s="351" t="s">
        <v>475</v>
      </c>
      <c r="C121" s="352">
        <v>0</v>
      </c>
      <c r="D121" s="352">
        <v>0</v>
      </c>
      <c r="E121" s="352">
        <v>0</v>
      </c>
      <c r="F121" s="352">
        <v>0</v>
      </c>
      <c r="G121" s="352">
        <v>0</v>
      </c>
      <c r="H121" s="352">
        <v>0</v>
      </c>
    </row>
    <row r="122" spans="1:8" customFormat="1" ht="16.899999999999999" customHeight="1">
      <c r="A122" s="350">
        <v>113</v>
      </c>
      <c r="B122" s="351" t="s">
        <v>476</v>
      </c>
      <c r="C122" s="352">
        <v>0</v>
      </c>
      <c r="D122" s="352">
        <v>0</v>
      </c>
      <c r="E122" s="352">
        <v>0</v>
      </c>
      <c r="F122" s="352">
        <v>0</v>
      </c>
      <c r="G122" s="352">
        <v>0</v>
      </c>
      <c r="H122" s="352">
        <v>0</v>
      </c>
    </row>
    <row r="123" spans="1:8" customFormat="1" ht="16.899999999999999" customHeight="1">
      <c r="A123" s="350" t="s">
        <v>417</v>
      </c>
      <c r="B123" s="351" t="s">
        <v>477</v>
      </c>
      <c r="C123" s="352">
        <v>0</v>
      </c>
      <c r="D123" s="352">
        <v>0</v>
      </c>
      <c r="E123" s="352">
        <v>0</v>
      </c>
      <c r="F123" s="352">
        <v>0</v>
      </c>
      <c r="G123" s="352">
        <v>0</v>
      </c>
      <c r="H123" s="352">
        <v>0</v>
      </c>
    </row>
    <row r="124" spans="1:8" customFormat="1" ht="16.899999999999999" customHeight="1">
      <c r="A124" s="350">
        <v>114</v>
      </c>
      <c r="B124" s="351" t="s">
        <v>478</v>
      </c>
      <c r="C124" s="352">
        <v>0</v>
      </c>
      <c r="D124" s="352">
        <v>0</v>
      </c>
      <c r="E124" s="352">
        <v>0</v>
      </c>
      <c r="F124" s="352">
        <v>0</v>
      </c>
      <c r="G124" s="352">
        <v>0</v>
      </c>
      <c r="H124" s="352">
        <v>0</v>
      </c>
    </row>
    <row r="125" spans="1:8" customFormat="1" ht="16.899999999999999" customHeight="1">
      <c r="A125" s="350">
        <v>115</v>
      </c>
      <c r="B125" s="351" t="s">
        <v>479</v>
      </c>
      <c r="C125" s="352">
        <v>0</v>
      </c>
      <c r="D125" s="352">
        <v>0</v>
      </c>
      <c r="E125" s="352">
        <v>0</v>
      </c>
      <c r="F125" s="352">
        <v>0</v>
      </c>
      <c r="G125" s="352">
        <v>0</v>
      </c>
      <c r="H125" s="352">
        <v>0</v>
      </c>
    </row>
    <row r="126" spans="1:8" customFormat="1" ht="16.899999999999999" customHeight="1">
      <c r="A126" s="350">
        <v>116</v>
      </c>
      <c r="B126" s="351" t="s">
        <v>480</v>
      </c>
      <c r="C126" s="352">
        <v>0</v>
      </c>
      <c r="D126" s="352">
        <v>0</v>
      </c>
      <c r="E126" s="352">
        <v>0</v>
      </c>
      <c r="F126" s="352">
        <v>0</v>
      </c>
      <c r="G126" s="352">
        <v>0</v>
      </c>
      <c r="H126" s="352">
        <v>0</v>
      </c>
    </row>
    <row r="127" spans="1:8" ht="16.899999999999999" customHeight="1">
      <c r="A127" s="356">
        <v>120</v>
      </c>
      <c r="B127" s="357" t="s">
        <v>481</v>
      </c>
      <c r="C127" s="358">
        <f t="shared" ref="C127:H127" si="36">C128+C129+C130</f>
        <v>250498.8</v>
      </c>
      <c r="D127" s="358">
        <f t="shared" ca="1" si="36"/>
        <v>199393.93710259727</v>
      </c>
      <c r="E127" s="358">
        <f t="shared" ca="1" si="36"/>
        <v>411816.41578246705</v>
      </c>
      <c r="F127" s="358">
        <f t="shared" ca="1" si="36"/>
        <v>635465.22478700243</v>
      </c>
      <c r="G127" s="358">
        <f t="shared" ca="1" si="36"/>
        <v>881051.37066076091</v>
      </c>
      <c r="H127" s="358">
        <f t="shared" ca="1" si="36"/>
        <v>1146836.8466008473</v>
      </c>
    </row>
    <row r="128" spans="1:8" ht="16.899999999999999" customHeight="1">
      <c r="A128" s="350">
        <v>121</v>
      </c>
      <c r="B128" s="351" t="s">
        <v>482</v>
      </c>
      <c r="C128" s="352">
        <f>C136</f>
        <v>250498.8</v>
      </c>
      <c r="D128" s="352">
        <f ca="1">'CF Plur'!B97</f>
        <v>199393.93710259727</v>
      </c>
      <c r="E128" s="352">
        <f ca="1">'CF Plur'!D97</f>
        <v>411816.41578246705</v>
      </c>
      <c r="F128" s="352">
        <f ca="1">'CF Plur'!F97</f>
        <v>635465.22478700243</v>
      </c>
      <c r="G128" s="352">
        <f ca="1">'CF Plur'!H97</f>
        <v>881051.37066076091</v>
      </c>
      <c r="H128" s="352">
        <f ca="1">'CF Plur'!J97</f>
        <v>1146836.8466008473</v>
      </c>
    </row>
    <row r="129" spans="1:8" customFormat="1" ht="16.899999999999999" customHeight="1">
      <c r="A129" s="350">
        <v>122</v>
      </c>
      <c r="B129" s="351" t="s">
        <v>483</v>
      </c>
      <c r="C129" s="352">
        <v>0</v>
      </c>
      <c r="D129" s="352">
        <v>0</v>
      </c>
      <c r="E129" s="352">
        <v>0</v>
      </c>
      <c r="F129" s="352">
        <v>0</v>
      </c>
      <c r="G129" s="352">
        <v>0</v>
      </c>
      <c r="H129" s="352">
        <v>0</v>
      </c>
    </row>
    <row r="130" spans="1:8" customFormat="1" ht="16.899999999999999" customHeight="1">
      <c r="A130" s="350">
        <v>123</v>
      </c>
      <c r="B130" s="351" t="s">
        <v>484</v>
      </c>
      <c r="C130" s="352">
        <v>0</v>
      </c>
      <c r="D130" s="352">
        <v>0</v>
      </c>
      <c r="E130" s="352">
        <v>0</v>
      </c>
      <c r="F130" s="352">
        <v>0</v>
      </c>
      <c r="G130" s="352">
        <v>0</v>
      </c>
      <c r="H130" s="352">
        <v>0</v>
      </c>
    </row>
    <row r="131" spans="1:8" ht="16.899999999999999" customHeight="1">
      <c r="A131" s="353">
        <v>130</v>
      </c>
      <c r="B131" s="354" t="s">
        <v>485</v>
      </c>
      <c r="C131" s="355">
        <f t="shared" ref="C131:H131" si="37">C132+C133</f>
        <v>0</v>
      </c>
      <c r="D131" s="355">
        <f t="shared" si="37"/>
        <v>0</v>
      </c>
      <c r="E131" s="355">
        <f t="shared" si="37"/>
        <v>0</v>
      </c>
      <c r="F131" s="355">
        <f t="shared" si="37"/>
        <v>0</v>
      </c>
      <c r="G131" s="355">
        <f t="shared" si="37"/>
        <v>0</v>
      </c>
      <c r="H131" s="355">
        <f t="shared" si="37"/>
        <v>0</v>
      </c>
    </row>
    <row r="132" spans="1:8" customFormat="1" ht="16.899999999999999" customHeight="1">
      <c r="A132" s="362">
        <v>131</v>
      </c>
      <c r="B132" s="363" t="s">
        <v>486</v>
      </c>
      <c r="C132" s="364">
        <v>0</v>
      </c>
      <c r="D132" s="364">
        <v>0</v>
      </c>
      <c r="E132" s="364">
        <v>0</v>
      </c>
      <c r="F132" s="364">
        <v>0</v>
      </c>
      <c r="G132" s="364">
        <v>0</v>
      </c>
      <c r="H132" s="364">
        <v>0</v>
      </c>
    </row>
    <row r="133" spans="1:8" ht="16.899999999999999" customHeight="1" thickBot="1">
      <c r="A133" s="365" t="s">
        <v>417</v>
      </c>
      <c r="B133" s="366" t="s">
        <v>487</v>
      </c>
      <c r="C133" s="367">
        <v>0</v>
      </c>
      <c r="D133" s="367">
        <v>0</v>
      </c>
      <c r="E133" s="367">
        <v>0</v>
      </c>
      <c r="F133" s="367">
        <v>0</v>
      </c>
      <c r="G133" s="367">
        <v>0</v>
      </c>
      <c r="H133" s="367">
        <v>0</v>
      </c>
    </row>
    <row r="134" spans="1:8" ht="16.899999999999999" customHeight="1">
      <c r="A134" s="368">
        <v>240</v>
      </c>
      <c r="B134" s="369" t="s">
        <v>488</v>
      </c>
      <c r="C134" s="370">
        <f t="shared" ref="C134:H134" si="38">C135+C156+C161+C162+C208</f>
        <v>250498.8</v>
      </c>
      <c r="D134" s="370">
        <f t="shared" si="38"/>
        <v>758440.99424545432</v>
      </c>
      <c r="E134" s="370">
        <f t="shared" si="38"/>
        <v>841242.93006818159</v>
      </c>
      <c r="F134" s="370">
        <f t="shared" si="38"/>
        <v>881730.26697011979</v>
      </c>
      <c r="G134" s="370">
        <f t="shared" si="38"/>
        <v>932749.64566400822</v>
      </c>
      <c r="H134" s="370">
        <f t="shared" si="38"/>
        <v>993634.80967455928</v>
      </c>
    </row>
    <row r="135" spans="1:8" ht="16.899999999999999" customHeight="1">
      <c r="A135" s="353">
        <v>160</v>
      </c>
      <c r="B135" s="354" t="s">
        <v>489</v>
      </c>
      <c r="C135" s="355">
        <f t="shared" ref="C135:G135" si="39">C136+C137+C138+C139+C140+C141+C142+C154+C155</f>
        <v>250498.8</v>
      </c>
      <c r="D135" s="355">
        <f t="shared" si="39"/>
        <v>742208.52924545435</v>
      </c>
      <c r="E135" s="355">
        <f t="shared" si="39"/>
        <v>807154.75356818154</v>
      </c>
      <c r="F135" s="355">
        <f t="shared" si="39"/>
        <v>828893.59339511977</v>
      </c>
      <c r="G135" s="355">
        <f t="shared" si="39"/>
        <v>860227.05016025819</v>
      </c>
      <c r="H135" s="355">
        <f>H136+H137+H138+H139+H140+H141+H142+H154+H155</f>
        <v>900441.99614562176</v>
      </c>
    </row>
    <row r="136" spans="1:8" ht="16.899999999999999" customHeight="1">
      <c r="A136" s="371">
        <v>162</v>
      </c>
      <c r="B136" s="372" t="s">
        <v>490</v>
      </c>
      <c r="C136" s="373">
        <f>Inv.!D110</f>
        <v>250498.8</v>
      </c>
      <c r="D136" s="373">
        <f>C136</f>
        <v>250498.8</v>
      </c>
      <c r="E136" s="373">
        <f>D136</f>
        <v>250498.8</v>
      </c>
      <c r="F136" s="373">
        <f>E136</f>
        <v>250498.8</v>
      </c>
      <c r="G136" s="373">
        <f>F136</f>
        <v>250498.8</v>
      </c>
      <c r="H136" s="373">
        <f>G136</f>
        <v>250498.8</v>
      </c>
    </row>
    <row r="137" spans="1:8" customFormat="1" ht="16.899999999999999" customHeight="1">
      <c r="A137" s="374">
        <v>164</v>
      </c>
      <c r="B137" s="375" t="s">
        <v>491</v>
      </c>
      <c r="C137" s="376">
        <v>0</v>
      </c>
      <c r="D137" s="376">
        <v>0</v>
      </c>
      <c r="E137" s="376">
        <v>0</v>
      </c>
      <c r="F137" s="376">
        <v>0</v>
      </c>
      <c r="G137" s="376">
        <v>0</v>
      </c>
      <c r="H137" s="376">
        <v>0</v>
      </c>
    </row>
    <row r="138" spans="1:8" customFormat="1" ht="16.899999999999999" customHeight="1">
      <c r="A138" s="374">
        <v>166</v>
      </c>
      <c r="B138" s="375" t="s">
        <v>492</v>
      </c>
      <c r="C138" s="376">
        <v>0</v>
      </c>
      <c r="D138" s="376">
        <v>0</v>
      </c>
      <c r="E138" s="376">
        <v>0</v>
      </c>
      <c r="F138" s="376">
        <v>0</v>
      </c>
      <c r="G138" s="376">
        <v>0</v>
      </c>
      <c r="H138" s="376">
        <v>0</v>
      </c>
    </row>
    <row r="139" spans="1:8" customFormat="1" ht="16.899999999999999" customHeight="1">
      <c r="A139" s="374">
        <v>163</v>
      </c>
      <c r="B139" s="375" t="s">
        <v>493</v>
      </c>
      <c r="C139" s="376">
        <v>0</v>
      </c>
      <c r="D139" s="376">
        <v>0</v>
      </c>
      <c r="E139" s="376">
        <v>0</v>
      </c>
      <c r="F139" s="376">
        <v>0</v>
      </c>
      <c r="G139" s="376">
        <v>0</v>
      </c>
      <c r="H139" s="376">
        <v>0</v>
      </c>
    </row>
    <row r="140" spans="1:8" customFormat="1" ht="16.899999999999999" customHeight="1">
      <c r="A140" s="374">
        <v>167</v>
      </c>
      <c r="B140" s="375" t="s">
        <v>494</v>
      </c>
      <c r="C140" s="376">
        <v>0</v>
      </c>
      <c r="D140" s="376">
        <v>0</v>
      </c>
      <c r="E140" s="376">
        <v>0</v>
      </c>
      <c r="F140" s="376">
        <v>0</v>
      </c>
      <c r="G140" s="376">
        <v>0</v>
      </c>
      <c r="H140" s="376">
        <v>0</v>
      </c>
    </row>
    <row r="141" spans="1:8" customFormat="1" ht="16.899999999999999" customHeight="1">
      <c r="A141" s="374">
        <v>165</v>
      </c>
      <c r="B141" s="375" t="s">
        <v>495</v>
      </c>
      <c r="C141" s="376">
        <v>0</v>
      </c>
      <c r="D141" s="376">
        <v>0</v>
      </c>
      <c r="E141" s="376">
        <v>0</v>
      </c>
      <c r="F141" s="376">
        <v>0</v>
      </c>
      <c r="G141" s="376">
        <v>0</v>
      </c>
      <c r="H141" s="376">
        <v>0</v>
      </c>
    </row>
    <row r="142" spans="1:8" ht="16.899999999999999" customHeight="1">
      <c r="A142" s="377">
        <v>169</v>
      </c>
      <c r="B142" s="378" t="s">
        <v>496</v>
      </c>
      <c r="C142" s="379">
        <f t="shared" ref="C142:H142" si="40">SUM(C143:C153)</f>
        <v>0</v>
      </c>
      <c r="D142" s="379">
        <f t="shared" si="40"/>
        <v>250498.8</v>
      </c>
      <c r="E142" s="379">
        <f t="shared" si="40"/>
        <v>250498.8</v>
      </c>
      <c r="F142" s="379">
        <f t="shared" si="40"/>
        <v>250498.8</v>
      </c>
      <c r="G142" s="379">
        <f t="shared" si="40"/>
        <v>250498.8</v>
      </c>
      <c r="H142" s="379">
        <f t="shared" si="40"/>
        <v>250498.8</v>
      </c>
    </row>
    <row r="143" spans="1:8" ht="16.899999999999999" customHeight="1">
      <c r="A143" s="350" t="s">
        <v>417</v>
      </c>
      <c r="B143" s="351" t="s">
        <v>497</v>
      </c>
      <c r="C143" s="352">
        <v>0</v>
      </c>
      <c r="D143" s="352">
        <v>0</v>
      </c>
      <c r="E143" s="352">
        <v>0</v>
      </c>
      <c r="F143" s="352">
        <v>0</v>
      </c>
      <c r="G143" s="352">
        <v>0</v>
      </c>
      <c r="H143" s="352">
        <v>0</v>
      </c>
    </row>
    <row r="144" spans="1:8" customFormat="1" ht="16.899999999999999" customHeight="1">
      <c r="A144" s="350">
        <v>11100</v>
      </c>
      <c r="B144" s="351" t="s">
        <v>498</v>
      </c>
      <c r="C144" s="352">
        <v>0</v>
      </c>
      <c r="D144" s="352">
        <f>'CF Plur'!B26</f>
        <v>250498.8</v>
      </c>
      <c r="E144" s="352">
        <f>D144+'CF Plur'!D26</f>
        <v>250498.8</v>
      </c>
      <c r="F144" s="352">
        <f>E144</f>
        <v>250498.8</v>
      </c>
      <c r="G144" s="352">
        <f>F144</f>
        <v>250498.8</v>
      </c>
      <c r="H144" s="352">
        <f>G144</f>
        <v>250498.8</v>
      </c>
    </row>
    <row r="145" spans="1:8" customFormat="1" ht="16.899999999999999" customHeight="1">
      <c r="A145" s="350" t="s">
        <v>417</v>
      </c>
      <c r="B145" s="351" t="s">
        <v>499</v>
      </c>
      <c r="C145" s="352">
        <v>0</v>
      </c>
      <c r="D145" s="352">
        <v>0</v>
      </c>
      <c r="E145" s="352">
        <v>0</v>
      </c>
      <c r="F145" s="352">
        <v>0</v>
      </c>
      <c r="G145" s="352">
        <v>0</v>
      </c>
      <c r="H145" s="352">
        <v>0</v>
      </c>
    </row>
    <row r="146" spans="1:8" customFormat="1" ht="16.899999999999999" customHeight="1">
      <c r="A146" s="350" t="s">
        <v>417</v>
      </c>
      <c r="B146" s="351" t="s">
        <v>500</v>
      </c>
      <c r="C146" s="352">
        <v>0</v>
      </c>
      <c r="D146" s="352">
        <v>0</v>
      </c>
      <c r="E146" s="352">
        <v>0</v>
      </c>
      <c r="F146" s="352">
        <v>0</v>
      </c>
      <c r="G146" s="352">
        <v>0</v>
      </c>
      <c r="H146" s="352">
        <v>0</v>
      </c>
    </row>
    <row r="147" spans="1:8" customFormat="1" ht="16.899999999999999" customHeight="1">
      <c r="A147" s="350" t="s">
        <v>417</v>
      </c>
      <c r="B147" s="351" t="s">
        <v>501</v>
      </c>
      <c r="C147" s="352">
        <v>0</v>
      </c>
      <c r="D147" s="352">
        <v>0</v>
      </c>
      <c r="E147" s="352">
        <v>0</v>
      </c>
      <c r="F147" s="352">
        <v>0</v>
      </c>
      <c r="G147" s="352">
        <v>0</v>
      </c>
      <c r="H147" s="352">
        <v>0</v>
      </c>
    </row>
    <row r="148" spans="1:8" customFormat="1" ht="16.899999999999999" customHeight="1">
      <c r="A148" s="350" t="s">
        <v>417</v>
      </c>
      <c r="B148" s="351" t="s">
        <v>502</v>
      </c>
      <c r="C148" s="352">
        <v>0</v>
      </c>
      <c r="D148" s="352">
        <v>0</v>
      </c>
      <c r="E148" s="352">
        <v>0</v>
      </c>
      <c r="F148" s="352">
        <v>0</v>
      </c>
      <c r="G148" s="352">
        <v>0</v>
      </c>
      <c r="H148" s="352">
        <v>0</v>
      </c>
    </row>
    <row r="149" spans="1:8" customFormat="1" ht="16.899999999999999" customHeight="1">
      <c r="A149" s="350" t="s">
        <v>417</v>
      </c>
      <c r="B149" s="351" t="s">
        <v>503</v>
      </c>
      <c r="C149" s="352">
        <v>0</v>
      </c>
      <c r="D149" s="352">
        <v>0</v>
      </c>
      <c r="E149" s="352">
        <v>0</v>
      </c>
      <c r="F149" s="352">
        <v>0</v>
      </c>
      <c r="G149" s="352">
        <v>0</v>
      </c>
      <c r="H149" s="352">
        <v>0</v>
      </c>
    </row>
    <row r="150" spans="1:8" customFormat="1" ht="16.899999999999999" customHeight="1">
      <c r="A150" s="350" t="s">
        <v>417</v>
      </c>
      <c r="B150" s="351" t="s">
        <v>504</v>
      </c>
      <c r="C150" s="352">
        <v>0</v>
      </c>
      <c r="D150" s="352">
        <v>0</v>
      </c>
      <c r="E150" s="352">
        <v>0</v>
      </c>
      <c r="F150" s="352">
        <v>0</v>
      </c>
      <c r="G150" s="352">
        <v>0</v>
      </c>
      <c r="H150" s="352">
        <v>0</v>
      </c>
    </row>
    <row r="151" spans="1:8" customFormat="1" ht="16.899999999999999" customHeight="1">
      <c r="A151" s="350" t="s">
        <v>417</v>
      </c>
      <c r="B151" s="351" t="s">
        <v>505</v>
      </c>
      <c r="C151" s="352">
        <v>0</v>
      </c>
      <c r="D151" s="352">
        <v>0</v>
      </c>
      <c r="E151" s="352">
        <v>0</v>
      </c>
      <c r="F151" s="352">
        <v>0</v>
      </c>
      <c r="G151" s="352">
        <v>0</v>
      </c>
      <c r="H151" s="352">
        <v>0</v>
      </c>
    </row>
    <row r="152" spans="1:8" customFormat="1" ht="16.899999999999999" customHeight="1">
      <c r="A152" s="350" t="s">
        <v>417</v>
      </c>
      <c r="B152" s="351" t="s">
        <v>506</v>
      </c>
      <c r="C152" s="352">
        <v>0</v>
      </c>
      <c r="D152" s="352">
        <v>0</v>
      </c>
      <c r="E152" s="352">
        <v>0</v>
      </c>
      <c r="F152" s="352">
        <v>0</v>
      </c>
      <c r="G152" s="352">
        <v>0</v>
      </c>
      <c r="H152" s="352">
        <v>0</v>
      </c>
    </row>
    <row r="153" spans="1:8" customFormat="1" ht="16.899999999999999" customHeight="1">
      <c r="A153" s="350" t="s">
        <v>417</v>
      </c>
      <c r="B153" s="351" t="s">
        <v>507</v>
      </c>
      <c r="C153" s="352">
        <v>0</v>
      </c>
      <c r="D153" s="352">
        <v>0</v>
      </c>
      <c r="E153" s="352">
        <v>0</v>
      </c>
      <c r="F153" s="352">
        <v>0</v>
      </c>
      <c r="G153" s="352">
        <v>0</v>
      </c>
      <c r="H153" s="352">
        <v>0</v>
      </c>
    </row>
    <row r="154" spans="1:8" customFormat="1" ht="16.899999999999999" customHeight="1">
      <c r="A154" s="374">
        <v>171</v>
      </c>
      <c r="B154" s="375" t="s">
        <v>508</v>
      </c>
      <c r="C154" s="376">
        <v>0</v>
      </c>
      <c r="D154" s="376">
        <v>93835</v>
      </c>
      <c r="E154" s="376">
        <f>D155</f>
        <v>147375.92924545443</v>
      </c>
      <c r="F154" s="376">
        <f>E155</f>
        <v>158781.22432272721</v>
      </c>
      <c r="G154" s="376">
        <f>F155</f>
        <v>169114.76907239266</v>
      </c>
      <c r="H154" s="376">
        <f>G155</f>
        <v>190114.68108786561</v>
      </c>
    </row>
    <row r="155" spans="1:8" ht="16.899999999999999" customHeight="1">
      <c r="A155" s="377">
        <v>172</v>
      </c>
      <c r="B155" s="378" t="s">
        <v>509</v>
      </c>
      <c r="C155" s="379">
        <v>0</v>
      </c>
      <c r="D155" s="379">
        <f>('C.E.'!C81)</f>
        <v>147375.92924545443</v>
      </c>
      <c r="E155" s="379">
        <f>('C.E.'!D81)</f>
        <v>158781.22432272721</v>
      </c>
      <c r="F155" s="379">
        <f>('C.E.'!E81)</f>
        <v>169114.76907239266</v>
      </c>
      <c r="G155" s="379">
        <f>('C.E.'!F81)</f>
        <v>190114.68108786561</v>
      </c>
      <c r="H155" s="379">
        <f>('C.E.'!G81)</f>
        <v>209329.71505775617</v>
      </c>
    </row>
    <row r="156" spans="1:8" customFormat="1" ht="16.899999999999999" customHeight="1">
      <c r="A156" s="353">
        <v>170</v>
      </c>
      <c r="B156" s="354" t="s">
        <v>510</v>
      </c>
      <c r="C156" s="355">
        <f t="shared" ref="C156:H156" si="41">SUM(C157:C160)</f>
        <v>0</v>
      </c>
      <c r="D156" s="355">
        <f t="shared" si="41"/>
        <v>0</v>
      </c>
      <c r="E156" s="355">
        <f t="shared" si="41"/>
        <v>0</v>
      </c>
      <c r="F156" s="355">
        <f t="shared" si="41"/>
        <v>0</v>
      </c>
      <c r="G156" s="355">
        <f t="shared" si="41"/>
        <v>0</v>
      </c>
      <c r="H156" s="355">
        <f t="shared" si="41"/>
        <v>0</v>
      </c>
    </row>
    <row r="157" spans="1:8" customFormat="1" ht="16.899999999999999" customHeight="1">
      <c r="A157" s="362">
        <v>173</v>
      </c>
      <c r="B157" s="363" t="s">
        <v>511</v>
      </c>
      <c r="C157" s="364">
        <v>0</v>
      </c>
      <c r="D157" s="364">
        <v>0</v>
      </c>
      <c r="E157" s="364">
        <v>0</v>
      </c>
      <c r="F157" s="364">
        <v>0</v>
      </c>
      <c r="G157" s="364">
        <v>0</v>
      </c>
      <c r="H157" s="364">
        <v>0</v>
      </c>
    </row>
    <row r="158" spans="1:8" customFormat="1" ht="16.899999999999999" customHeight="1">
      <c r="A158" s="350">
        <v>175</v>
      </c>
      <c r="B158" s="351" t="s">
        <v>512</v>
      </c>
      <c r="C158" s="352">
        <v>0</v>
      </c>
      <c r="D158" s="352">
        <v>0</v>
      </c>
      <c r="E158" s="352">
        <v>0</v>
      </c>
      <c r="F158" s="352">
        <v>0</v>
      </c>
      <c r="G158" s="352">
        <v>0</v>
      </c>
      <c r="H158" s="352">
        <v>0</v>
      </c>
    </row>
    <row r="159" spans="1:8" customFormat="1" ht="16.899999999999999" customHeight="1">
      <c r="A159" s="350" t="s">
        <v>417</v>
      </c>
      <c r="B159" s="351" t="s">
        <v>513</v>
      </c>
      <c r="C159" s="352">
        <v>0</v>
      </c>
      <c r="D159" s="352">
        <v>0</v>
      </c>
      <c r="E159" s="352">
        <v>0</v>
      </c>
      <c r="F159" s="352">
        <v>0</v>
      </c>
      <c r="G159" s="352">
        <v>0</v>
      </c>
      <c r="H159" s="352">
        <v>0</v>
      </c>
    </row>
    <row r="160" spans="1:8" customFormat="1" ht="16.899999999999999" customHeight="1">
      <c r="A160" s="350">
        <v>174</v>
      </c>
      <c r="B160" s="351" t="s">
        <v>514</v>
      </c>
      <c r="C160" s="352">
        <v>0</v>
      </c>
      <c r="D160" s="352">
        <v>0</v>
      </c>
      <c r="E160" s="352">
        <v>0</v>
      </c>
      <c r="F160" s="352">
        <v>0</v>
      </c>
      <c r="G160" s="352">
        <v>0</v>
      </c>
      <c r="H160" s="352">
        <v>0</v>
      </c>
    </row>
    <row r="161" spans="1:8" ht="16.899999999999999" customHeight="1">
      <c r="A161" s="353">
        <v>180</v>
      </c>
      <c r="B161" s="354" t="s">
        <v>515</v>
      </c>
      <c r="C161" s="355">
        <v>0</v>
      </c>
      <c r="D161" s="355">
        <f>'C.E.'!C21</f>
        <v>16232.465</v>
      </c>
      <c r="E161" s="355">
        <f>'C.E.'!D21+D161</f>
        <v>34088.176500000001</v>
      </c>
      <c r="F161" s="355">
        <f>'C.E.'!E21+E161</f>
        <v>52836.673575000008</v>
      </c>
      <c r="G161" s="355">
        <f>'C.E.'!F21+F161</f>
        <v>72522.59550375001</v>
      </c>
      <c r="H161" s="355">
        <f>'C.E.'!G21+G161</f>
        <v>93192.81352893752</v>
      </c>
    </row>
    <row r="162" spans="1:8" ht="16.899999999999999" customHeight="1">
      <c r="A162" s="353">
        <v>190</v>
      </c>
      <c r="B162" s="354" t="s">
        <v>516</v>
      </c>
      <c r="C162" s="355">
        <f t="shared" ref="C162:H162" si="42">C163+C166+C169+C172+C175+C178+C181+C184+C187+C190+C193+C196+C199+C202+C205</f>
        <v>0</v>
      </c>
      <c r="D162" s="355">
        <f t="shared" si="42"/>
        <v>0</v>
      </c>
      <c r="E162" s="355">
        <f t="shared" si="42"/>
        <v>0</v>
      </c>
      <c r="F162" s="355">
        <f t="shared" si="42"/>
        <v>0</v>
      </c>
      <c r="G162" s="355">
        <f t="shared" si="42"/>
        <v>0</v>
      </c>
      <c r="H162" s="355">
        <f t="shared" si="42"/>
        <v>0</v>
      </c>
    </row>
    <row r="163" spans="1:8" ht="16.899999999999999" customHeight="1">
      <c r="A163" s="380">
        <v>191</v>
      </c>
      <c r="B163" s="381" t="s">
        <v>517</v>
      </c>
      <c r="C163" s="382">
        <f t="shared" ref="C163:H163" si="43">C164+C165</f>
        <v>0</v>
      </c>
      <c r="D163" s="382">
        <f t="shared" si="43"/>
        <v>0</v>
      </c>
      <c r="E163" s="382">
        <f t="shared" si="43"/>
        <v>0</v>
      </c>
      <c r="F163" s="382">
        <f t="shared" si="43"/>
        <v>0</v>
      </c>
      <c r="G163" s="382">
        <f t="shared" si="43"/>
        <v>0</v>
      </c>
      <c r="H163" s="382">
        <f t="shared" si="43"/>
        <v>0</v>
      </c>
    </row>
    <row r="164" spans="1:8" customFormat="1" ht="16.899999999999999" customHeight="1">
      <c r="A164" s="350" t="s">
        <v>417</v>
      </c>
      <c r="B164" s="351" t="s">
        <v>518</v>
      </c>
      <c r="C164" s="352">
        <v>0</v>
      </c>
      <c r="D164" s="352">
        <v>0</v>
      </c>
      <c r="E164" s="352">
        <v>0</v>
      </c>
      <c r="F164" s="352">
        <v>0</v>
      </c>
      <c r="G164" s="352">
        <v>0</v>
      </c>
      <c r="H164" s="352">
        <v>0</v>
      </c>
    </row>
    <row r="165" spans="1:8" ht="16.899999999999999" customHeight="1">
      <c r="A165" s="350">
        <v>181</v>
      </c>
      <c r="B165" s="351" t="s">
        <v>519</v>
      </c>
      <c r="C165" s="352">
        <v>0</v>
      </c>
      <c r="D165" s="352">
        <v>0</v>
      </c>
      <c r="E165" s="352">
        <v>0</v>
      </c>
      <c r="F165" s="352">
        <v>0</v>
      </c>
      <c r="G165" s="352">
        <v>0</v>
      </c>
      <c r="H165" s="352">
        <v>0</v>
      </c>
    </row>
    <row r="166" spans="1:8" customFormat="1" ht="16.899999999999999" customHeight="1">
      <c r="A166" s="359">
        <v>192</v>
      </c>
      <c r="B166" s="360" t="s">
        <v>520</v>
      </c>
      <c r="C166" s="361">
        <f t="shared" ref="C166:H166" si="44">C167+C168</f>
        <v>0</v>
      </c>
      <c r="D166" s="361">
        <f t="shared" si="44"/>
        <v>0</v>
      </c>
      <c r="E166" s="361">
        <f t="shared" si="44"/>
        <v>0</v>
      </c>
      <c r="F166" s="361">
        <f t="shared" si="44"/>
        <v>0</v>
      </c>
      <c r="G166" s="361">
        <f t="shared" si="44"/>
        <v>0</v>
      </c>
      <c r="H166" s="361">
        <f t="shared" si="44"/>
        <v>0</v>
      </c>
    </row>
    <row r="167" spans="1:8" customFormat="1" ht="16.899999999999999" customHeight="1">
      <c r="A167" s="350" t="s">
        <v>417</v>
      </c>
      <c r="B167" s="351" t="s">
        <v>518</v>
      </c>
      <c r="C167" s="352">
        <v>0</v>
      </c>
      <c r="D167" s="352">
        <v>0</v>
      </c>
      <c r="E167" s="352">
        <v>0</v>
      </c>
      <c r="F167" s="352">
        <v>0</v>
      </c>
      <c r="G167" s="352">
        <v>0</v>
      </c>
      <c r="H167" s="352">
        <v>0</v>
      </c>
    </row>
    <row r="168" spans="1:8" customFormat="1" ht="16.899999999999999" customHeight="1">
      <c r="A168" s="350">
        <v>182</v>
      </c>
      <c r="B168" s="351" t="s">
        <v>519</v>
      </c>
      <c r="C168" s="352">
        <v>0</v>
      </c>
      <c r="D168" s="352">
        <v>0</v>
      </c>
      <c r="E168" s="352">
        <v>0</v>
      </c>
      <c r="F168" s="352">
        <v>0</v>
      </c>
      <c r="G168" s="352">
        <v>0</v>
      </c>
      <c r="H168" s="352">
        <v>0</v>
      </c>
    </row>
    <row r="169" spans="1:8" customFormat="1" ht="16.899999999999999" customHeight="1">
      <c r="A169" s="359">
        <v>11400</v>
      </c>
      <c r="B169" s="360" t="s">
        <v>521</v>
      </c>
      <c r="C169" s="361">
        <f t="shared" ref="C169:H169" si="45">C170+C171</f>
        <v>0</v>
      </c>
      <c r="D169" s="361">
        <f t="shared" si="45"/>
        <v>0</v>
      </c>
      <c r="E169" s="361">
        <f t="shared" si="45"/>
        <v>0</v>
      </c>
      <c r="F169" s="361">
        <f t="shared" si="45"/>
        <v>0</v>
      </c>
      <c r="G169" s="361">
        <f t="shared" si="45"/>
        <v>0</v>
      </c>
      <c r="H169" s="361">
        <f t="shared" si="45"/>
        <v>0</v>
      </c>
    </row>
    <row r="170" spans="1:8" customFormat="1" ht="16.899999999999999" customHeight="1">
      <c r="A170" s="350" t="s">
        <v>417</v>
      </c>
      <c r="B170" s="351" t="s">
        <v>518</v>
      </c>
      <c r="C170" s="352">
        <v>0</v>
      </c>
      <c r="D170" s="352">
        <v>0</v>
      </c>
      <c r="E170" s="352">
        <v>0</v>
      </c>
      <c r="F170" s="352">
        <v>0</v>
      </c>
      <c r="G170" s="352">
        <v>0</v>
      </c>
      <c r="H170" s="352">
        <v>0</v>
      </c>
    </row>
    <row r="171" spans="1:8" customFormat="1" ht="16.899999999999999" customHeight="1">
      <c r="A171" s="383">
        <v>11450</v>
      </c>
      <c r="B171" s="384" t="s">
        <v>519</v>
      </c>
      <c r="C171" s="385">
        <v>0</v>
      </c>
      <c r="D171" s="385">
        <v>0</v>
      </c>
      <c r="E171" s="352">
        <v>0</v>
      </c>
      <c r="F171" s="385">
        <v>0</v>
      </c>
      <c r="G171" s="385">
        <v>0</v>
      </c>
      <c r="H171" s="385">
        <v>0</v>
      </c>
    </row>
    <row r="172" spans="1:8" ht="16.899999999999999" customHeight="1">
      <c r="A172" s="359">
        <v>193</v>
      </c>
      <c r="B172" s="360" t="s">
        <v>522</v>
      </c>
      <c r="C172" s="361">
        <f t="shared" ref="C172:H172" si="46">C173+C174</f>
        <v>0</v>
      </c>
      <c r="D172" s="361">
        <f t="shared" si="46"/>
        <v>0</v>
      </c>
      <c r="E172" s="361">
        <f t="shared" si="46"/>
        <v>0</v>
      </c>
      <c r="F172" s="361">
        <f t="shared" si="46"/>
        <v>0</v>
      </c>
      <c r="G172" s="361">
        <f t="shared" si="46"/>
        <v>0</v>
      </c>
      <c r="H172" s="361">
        <f t="shared" si="46"/>
        <v>0</v>
      </c>
    </row>
    <row r="173" spans="1:8" customFormat="1" ht="16.899999999999999" customHeight="1">
      <c r="A173" s="350" t="s">
        <v>417</v>
      </c>
      <c r="B173" s="351" t="s">
        <v>518</v>
      </c>
      <c r="C173" s="352">
        <f>'CF Plur'!B81</f>
        <v>0</v>
      </c>
      <c r="D173" s="352">
        <f>'CF Plur'!C81</f>
        <v>0</v>
      </c>
      <c r="E173" s="352">
        <f>'CF Plur'!D81</f>
        <v>0</v>
      </c>
      <c r="F173" s="352">
        <f>'CF Plur'!E81</f>
        <v>0</v>
      </c>
      <c r="G173" s="352">
        <f>'CF Plur'!F81</f>
        <v>0</v>
      </c>
      <c r="H173" s="352">
        <f>'CF Plur'!G81</f>
        <v>0</v>
      </c>
    </row>
    <row r="174" spans="1:8" ht="16.899999999999999" customHeight="1">
      <c r="A174" s="350">
        <v>210</v>
      </c>
      <c r="B174" s="351" t="s">
        <v>519</v>
      </c>
      <c r="C174" s="352">
        <f>'CF Plur'!B82</f>
        <v>0</v>
      </c>
      <c r="D174" s="352">
        <f>'CF Plur'!C82</f>
        <v>0</v>
      </c>
      <c r="E174" s="352">
        <f>'CF Plur'!E82</f>
        <v>0</v>
      </c>
      <c r="F174" s="352">
        <f>'CF Plur'!G82</f>
        <v>0</v>
      </c>
      <c r="G174" s="352">
        <f>'CF Plur'!I82</f>
        <v>0</v>
      </c>
      <c r="H174" s="352">
        <f>'CF Plur'!K82</f>
        <v>0</v>
      </c>
    </row>
    <row r="175" spans="1:8" customFormat="1" ht="16.899999999999999" customHeight="1">
      <c r="A175" s="359">
        <v>194</v>
      </c>
      <c r="B175" s="360" t="s">
        <v>523</v>
      </c>
      <c r="C175" s="361">
        <f t="shared" ref="C175:H175" si="47">C176+C177</f>
        <v>0</v>
      </c>
      <c r="D175" s="361">
        <f t="shared" si="47"/>
        <v>0</v>
      </c>
      <c r="E175" s="361">
        <f t="shared" si="47"/>
        <v>0</v>
      </c>
      <c r="F175" s="361">
        <f t="shared" si="47"/>
        <v>0</v>
      </c>
      <c r="G175" s="361">
        <f t="shared" si="47"/>
        <v>0</v>
      </c>
      <c r="H175" s="361">
        <f t="shared" si="47"/>
        <v>0</v>
      </c>
    </row>
    <row r="176" spans="1:8" customFormat="1" ht="16.899999999999999" customHeight="1">
      <c r="A176" s="350" t="s">
        <v>417</v>
      </c>
      <c r="B176" s="351" t="s">
        <v>518</v>
      </c>
      <c r="C176" s="352">
        <v>0</v>
      </c>
      <c r="D176" s="352">
        <v>0</v>
      </c>
      <c r="E176" s="352">
        <v>0</v>
      </c>
      <c r="F176" s="352">
        <v>0</v>
      </c>
      <c r="G176" s="352">
        <v>0</v>
      </c>
      <c r="H176" s="352">
        <v>0</v>
      </c>
    </row>
    <row r="177" spans="1:8" customFormat="1" ht="16.899999999999999" customHeight="1">
      <c r="A177" s="350">
        <v>184</v>
      </c>
      <c r="B177" s="351" t="s">
        <v>519</v>
      </c>
      <c r="C177" s="352">
        <v>0</v>
      </c>
      <c r="D177" s="352">
        <v>0</v>
      </c>
      <c r="E177" s="352">
        <v>0</v>
      </c>
      <c r="F177" s="352">
        <v>0</v>
      </c>
      <c r="G177" s="352">
        <v>0</v>
      </c>
      <c r="H177" s="352">
        <v>0</v>
      </c>
    </row>
    <row r="178" spans="1:8" customFormat="1" ht="16.899999999999999" customHeight="1">
      <c r="A178" s="359">
        <v>215</v>
      </c>
      <c r="B178" s="360" t="s">
        <v>524</v>
      </c>
      <c r="C178" s="361">
        <f t="shared" ref="C178:H178" si="48">C179+C180</f>
        <v>0</v>
      </c>
      <c r="D178" s="361">
        <f t="shared" si="48"/>
        <v>0</v>
      </c>
      <c r="E178" s="361">
        <f t="shared" si="48"/>
        <v>0</v>
      </c>
      <c r="F178" s="361">
        <f t="shared" si="48"/>
        <v>0</v>
      </c>
      <c r="G178" s="361">
        <f t="shared" si="48"/>
        <v>0</v>
      </c>
      <c r="H178" s="361">
        <f t="shared" si="48"/>
        <v>0</v>
      </c>
    </row>
    <row r="179" spans="1:8" customFormat="1" ht="16.899999999999999" customHeight="1">
      <c r="A179" s="350" t="s">
        <v>417</v>
      </c>
      <c r="B179" s="351" t="s">
        <v>518</v>
      </c>
      <c r="C179" s="352">
        <v>0</v>
      </c>
      <c r="D179" s="352">
        <v>0</v>
      </c>
      <c r="E179" s="352">
        <v>0</v>
      </c>
      <c r="F179" s="352">
        <v>0</v>
      </c>
      <c r="G179" s="352">
        <v>0</v>
      </c>
      <c r="H179" s="352">
        <v>0</v>
      </c>
    </row>
    <row r="180" spans="1:8" customFormat="1" ht="16.899999999999999" customHeight="1">
      <c r="A180" s="350">
        <v>185</v>
      </c>
      <c r="B180" s="351" t="s">
        <v>519</v>
      </c>
      <c r="C180" s="352">
        <v>0</v>
      </c>
      <c r="D180" s="352">
        <v>0</v>
      </c>
      <c r="E180" s="352">
        <v>0</v>
      </c>
      <c r="F180" s="352">
        <v>0</v>
      </c>
      <c r="G180" s="352">
        <v>0</v>
      </c>
      <c r="H180" s="352">
        <v>0</v>
      </c>
    </row>
    <row r="181" spans="1:8" ht="16.899999999999999" customHeight="1">
      <c r="A181" s="359">
        <v>195</v>
      </c>
      <c r="B181" s="360" t="s">
        <v>525</v>
      </c>
      <c r="C181" s="361">
        <f t="shared" ref="C181:H181" si="49">C182+C183</f>
        <v>0</v>
      </c>
      <c r="D181" s="361">
        <f t="shared" si="49"/>
        <v>0</v>
      </c>
      <c r="E181" s="361">
        <f t="shared" si="49"/>
        <v>0</v>
      </c>
      <c r="F181" s="361">
        <f t="shared" si="49"/>
        <v>0</v>
      </c>
      <c r="G181" s="361">
        <f t="shared" si="49"/>
        <v>0</v>
      </c>
      <c r="H181" s="361">
        <f t="shared" si="49"/>
        <v>0</v>
      </c>
    </row>
    <row r="182" spans="1:8" ht="16.899999999999999" customHeight="1">
      <c r="A182" s="350" t="s">
        <v>417</v>
      </c>
      <c r="B182" s="351" t="s">
        <v>518</v>
      </c>
      <c r="C182" s="352">
        <v>0</v>
      </c>
      <c r="D182" s="352">
        <v>0</v>
      </c>
      <c r="E182" s="352">
        <v>0</v>
      </c>
      <c r="F182" s="352">
        <v>0</v>
      </c>
      <c r="G182" s="352">
        <v>0</v>
      </c>
      <c r="H182" s="352">
        <v>0</v>
      </c>
    </row>
    <row r="183" spans="1:8" customFormat="1" ht="16.899999999999999" customHeight="1">
      <c r="A183" s="350">
        <v>186</v>
      </c>
      <c r="B183" s="351" t="s">
        <v>519</v>
      </c>
      <c r="C183" s="352">
        <v>0</v>
      </c>
      <c r="D183" s="352">
        <v>0</v>
      </c>
      <c r="E183" s="352">
        <v>0</v>
      </c>
      <c r="F183" s="352">
        <v>0</v>
      </c>
      <c r="G183" s="352">
        <v>0</v>
      </c>
      <c r="H183" s="352">
        <v>0</v>
      </c>
    </row>
    <row r="184" spans="1:8" customFormat="1" ht="16.899999999999999" customHeight="1">
      <c r="A184" s="359">
        <v>196</v>
      </c>
      <c r="B184" s="360" t="s">
        <v>526</v>
      </c>
      <c r="C184" s="361">
        <f t="shared" ref="C184:H184" si="50">C185+C186</f>
        <v>0</v>
      </c>
      <c r="D184" s="361">
        <f t="shared" si="50"/>
        <v>0</v>
      </c>
      <c r="E184" s="361">
        <f t="shared" si="50"/>
        <v>0</v>
      </c>
      <c r="F184" s="361">
        <f t="shared" si="50"/>
        <v>0</v>
      </c>
      <c r="G184" s="361">
        <f t="shared" si="50"/>
        <v>0</v>
      </c>
      <c r="H184" s="361">
        <f t="shared" si="50"/>
        <v>0</v>
      </c>
    </row>
    <row r="185" spans="1:8" customFormat="1" ht="16.899999999999999" customHeight="1">
      <c r="A185" s="350" t="s">
        <v>417</v>
      </c>
      <c r="B185" s="351" t="s">
        <v>518</v>
      </c>
      <c r="C185" s="352">
        <v>0</v>
      </c>
      <c r="D185" s="352">
        <v>0</v>
      </c>
      <c r="E185" s="352">
        <v>0</v>
      </c>
      <c r="F185" s="352">
        <v>0</v>
      </c>
      <c r="G185" s="352">
        <v>0</v>
      </c>
      <c r="H185" s="352">
        <v>0</v>
      </c>
    </row>
    <row r="186" spans="1:8" customFormat="1" ht="16.899999999999999" customHeight="1">
      <c r="A186" s="350">
        <v>187</v>
      </c>
      <c r="B186" s="351" t="s">
        <v>519</v>
      </c>
      <c r="C186" s="352">
        <v>0</v>
      </c>
      <c r="D186" s="352">
        <v>0</v>
      </c>
      <c r="E186" s="352">
        <v>0</v>
      </c>
      <c r="F186" s="352">
        <v>0</v>
      </c>
      <c r="G186" s="352">
        <v>0</v>
      </c>
      <c r="H186" s="352">
        <v>0</v>
      </c>
    </row>
    <row r="187" spans="1:8" customFormat="1" ht="16.899999999999999" customHeight="1">
      <c r="A187" s="359">
        <v>197</v>
      </c>
      <c r="B187" s="360" t="s">
        <v>527</v>
      </c>
      <c r="C187" s="361">
        <f t="shared" ref="C187:H187" si="51">C188+C189</f>
        <v>0</v>
      </c>
      <c r="D187" s="361">
        <f t="shared" si="51"/>
        <v>0</v>
      </c>
      <c r="E187" s="361">
        <f t="shared" si="51"/>
        <v>0</v>
      </c>
      <c r="F187" s="361">
        <f t="shared" si="51"/>
        <v>0</v>
      </c>
      <c r="G187" s="361">
        <f t="shared" si="51"/>
        <v>0</v>
      </c>
      <c r="H187" s="361">
        <f t="shared" si="51"/>
        <v>0</v>
      </c>
    </row>
    <row r="188" spans="1:8" customFormat="1" ht="16.899999999999999" customHeight="1">
      <c r="A188" s="350" t="s">
        <v>417</v>
      </c>
      <c r="B188" s="351" t="s">
        <v>518</v>
      </c>
      <c r="C188" s="352">
        <v>0</v>
      </c>
      <c r="D188" s="352">
        <v>0</v>
      </c>
      <c r="E188" s="352">
        <v>0</v>
      </c>
      <c r="F188" s="352">
        <v>0</v>
      </c>
      <c r="G188" s="352">
        <v>0</v>
      </c>
      <c r="H188" s="352">
        <v>0</v>
      </c>
    </row>
    <row r="189" spans="1:8" customFormat="1" ht="16.899999999999999" customHeight="1">
      <c r="A189" s="350">
        <v>188</v>
      </c>
      <c r="B189" s="351" t="s">
        <v>519</v>
      </c>
      <c r="C189" s="352">
        <v>0</v>
      </c>
      <c r="D189" s="352">
        <v>0</v>
      </c>
      <c r="E189" s="352">
        <v>0</v>
      </c>
      <c r="F189" s="352">
        <v>0</v>
      </c>
      <c r="G189" s="352">
        <v>0</v>
      </c>
      <c r="H189" s="352">
        <v>0</v>
      </c>
    </row>
    <row r="190" spans="1:8" customFormat="1" ht="16.899999999999999" customHeight="1">
      <c r="A190" s="359">
        <v>198</v>
      </c>
      <c r="B190" s="360" t="s">
        <v>528</v>
      </c>
      <c r="C190" s="361">
        <f t="shared" ref="C190:H190" si="52">C191+C192</f>
        <v>0</v>
      </c>
      <c r="D190" s="361">
        <f t="shared" si="52"/>
        <v>0</v>
      </c>
      <c r="E190" s="361">
        <f t="shared" si="52"/>
        <v>0</v>
      </c>
      <c r="F190" s="361">
        <f t="shared" si="52"/>
        <v>0</v>
      </c>
      <c r="G190" s="361">
        <f t="shared" si="52"/>
        <v>0</v>
      </c>
      <c r="H190" s="361">
        <f t="shared" si="52"/>
        <v>0</v>
      </c>
    </row>
    <row r="191" spans="1:8" customFormat="1" ht="16.899999999999999" customHeight="1">
      <c r="A191" s="350" t="s">
        <v>417</v>
      </c>
      <c r="B191" s="351" t="s">
        <v>518</v>
      </c>
      <c r="C191" s="352">
        <v>0</v>
      </c>
      <c r="D191" s="352">
        <v>0</v>
      </c>
      <c r="E191" s="352">
        <v>0</v>
      </c>
      <c r="F191" s="352">
        <v>0</v>
      </c>
      <c r="G191" s="352">
        <v>0</v>
      </c>
      <c r="H191" s="352">
        <v>0</v>
      </c>
    </row>
    <row r="192" spans="1:8" customFormat="1" ht="16.899999999999999" customHeight="1">
      <c r="A192" s="350">
        <v>189</v>
      </c>
      <c r="B192" s="351" t="s">
        <v>519</v>
      </c>
      <c r="C192" s="352">
        <v>0</v>
      </c>
      <c r="D192" s="352">
        <v>0</v>
      </c>
      <c r="E192" s="352">
        <v>0</v>
      </c>
      <c r="F192" s="352">
        <v>0</v>
      </c>
      <c r="G192" s="352">
        <v>0</v>
      </c>
      <c r="H192" s="352">
        <v>0</v>
      </c>
    </row>
    <row r="193" spans="1:8" customFormat="1" ht="16.899999999999999" customHeight="1">
      <c r="A193" s="359">
        <v>199</v>
      </c>
      <c r="B193" s="360" t="s">
        <v>529</v>
      </c>
      <c r="C193" s="361">
        <f t="shared" ref="C193:H193" si="53">C194+C195</f>
        <v>0</v>
      </c>
      <c r="D193" s="361">
        <f t="shared" si="53"/>
        <v>0</v>
      </c>
      <c r="E193" s="361">
        <f t="shared" si="53"/>
        <v>0</v>
      </c>
      <c r="F193" s="361">
        <f t="shared" si="53"/>
        <v>0</v>
      </c>
      <c r="G193" s="361">
        <f t="shared" si="53"/>
        <v>0</v>
      </c>
      <c r="H193" s="361">
        <f t="shared" si="53"/>
        <v>0</v>
      </c>
    </row>
    <row r="194" spans="1:8" customFormat="1" ht="16.899999999999999" customHeight="1">
      <c r="A194" s="350" t="s">
        <v>417</v>
      </c>
      <c r="B194" s="351" t="s">
        <v>518</v>
      </c>
      <c r="C194" s="352">
        <v>0</v>
      </c>
      <c r="D194" s="352">
        <v>0</v>
      </c>
      <c r="E194" s="352">
        <v>0</v>
      </c>
      <c r="F194" s="352">
        <v>0</v>
      </c>
      <c r="G194" s="352">
        <v>0</v>
      </c>
      <c r="H194" s="352">
        <v>0</v>
      </c>
    </row>
    <row r="195" spans="1:8" customFormat="1" ht="16.899999999999999" customHeight="1">
      <c r="A195" s="350">
        <v>204</v>
      </c>
      <c r="B195" s="351" t="s">
        <v>519</v>
      </c>
      <c r="C195" s="352">
        <v>0</v>
      </c>
      <c r="D195" s="352">
        <v>0</v>
      </c>
      <c r="E195" s="352">
        <v>0</v>
      </c>
      <c r="F195" s="352">
        <v>0</v>
      </c>
      <c r="G195" s="352">
        <v>0</v>
      </c>
      <c r="H195" s="352">
        <v>0</v>
      </c>
    </row>
    <row r="196" spans="1:8" customFormat="1" ht="16.899999999999999" customHeight="1">
      <c r="A196" s="359" t="s">
        <v>417</v>
      </c>
      <c r="B196" s="360" t="s">
        <v>530</v>
      </c>
      <c r="C196" s="361">
        <f t="shared" ref="C196:H196" si="54">C197+C198</f>
        <v>0</v>
      </c>
      <c r="D196" s="361">
        <f t="shared" si="54"/>
        <v>0</v>
      </c>
      <c r="E196" s="361">
        <f t="shared" si="54"/>
        <v>0</v>
      </c>
      <c r="F196" s="361">
        <f t="shared" si="54"/>
        <v>0</v>
      </c>
      <c r="G196" s="361">
        <f t="shared" si="54"/>
        <v>0</v>
      </c>
      <c r="H196" s="361">
        <f t="shared" si="54"/>
        <v>0</v>
      </c>
    </row>
    <row r="197" spans="1:8" customFormat="1" ht="16.899999999999999" customHeight="1">
      <c r="A197" s="350" t="s">
        <v>417</v>
      </c>
      <c r="B197" s="351" t="s">
        <v>518</v>
      </c>
      <c r="C197" s="352">
        <v>0</v>
      </c>
      <c r="D197" s="352">
        <v>0</v>
      </c>
      <c r="E197" s="352">
        <v>0</v>
      </c>
      <c r="F197" s="352">
        <v>0</v>
      </c>
      <c r="G197" s="352">
        <v>0</v>
      </c>
      <c r="H197" s="352">
        <v>0</v>
      </c>
    </row>
    <row r="198" spans="1:8" customFormat="1" ht="16.899999999999999" customHeight="1">
      <c r="A198" s="350" t="s">
        <v>417</v>
      </c>
      <c r="B198" s="351" t="s">
        <v>519</v>
      </c>
      <c r="C198" s="352">
        <v>0</v>
      </c>
      <c r="D198" s="352">
        <v>0</v>
      </c>
      <c r="E198" s="352">
        <v>0</v>
      </c>
      <c r="F198" s="352">
        <v>0</v>
      </c>
      <c r="G198" s="352">
        <v>0</v>
      </c>
      <c r="H198" s="352">
        <v>0</v>
      </c>
    </row>
    <row r="199" spans="1:8" customFormat="1" ht="16.899999999999999" customHeight="1">
      <c r="A199" s="359">
        <v>201</v>
      </c>
      <c r="B199" s="360" t="s">
        <v>531</v>
      </c>
      <c r="C199" s="361">
        <f t="shared" ref="C199:H199" si="55">C200+C201</f>
        <v>0</v>
      </c>
      <c r="D199" s="361">
        <f t="shared" si="55"/>
        <v>0</v>
      </c>
      <c r="E199" s="361">
        <f t="shared" si="55"/>
        <v>0</v>
      </c>
      <c r="F199" s="361">
        <f t="shared" si="55"/>
        <v>0</v>
      </c>
      <c r="G199" s="361">
        <f t="shared" si="55"/>
        <v>0</v>
      </c>
      <c r="H199" s="361">
        <f t="shared" si="55"/>
        <v>0</v>
      </c>
    </row>
    <row r="200" spans="1:8" customFormat="1" ht="16.899999999999999" customHeight="1">
      <c r="A200" s="350" t="s">
        <v>417</v>
      </c>
      <c r="B200" s="351" t="s">
        <v>518</v>
      </c>
      <c r="C200" s="352">
        <v>0</v>
      </c>
      <c r="D200" s="352">
        <v>0</v>
      </c>
      <c r="E200" s="352">
        <v>0</v>
      </c>
      <c r="F200" s="352">
        <v>0</v>
      </c>
      <c r="G200" s="352">
        <v>0</v>
      </c>
      <c r="H200" s="352">
        <v>0</v>
      </c>
    </row>
    <row r="201" spans="1:8" customFormat="1" ht="16.899999999999999" customHeight="1">
      <c r="A201" s="350">
        <v>205</v>
      </c>
      <c r="B201" s="351" t="s">
        <v>519</v>
      </c>
      <c r="C201" s="352">
        <v>0</v>
      </c>
      <c r="D201" s="352">
        <v>0</v>
      </c>
      <c r="E201" s="352">
        <v>0</v>
      </c>
      <c r="F201" s="352">
        <v>0</v>
      </c>
      <c r="G201" s="352">
        <v>0</v>
      </c>
      <c r="H201" s="352">
        <v>0</v>
      </c>
    </row>
    <row r="202" spans="1:8" customFormat="1" ht="16.899999999999999" customHeight="1">
      <c r="A202" s="359">
        <v>202</v>
      </c>
      <c r="B202" s="360" t="s">
        <v>532</v>
      </c>
      <c r="C202" s="361">
        <f t="shared" ref="C202:H202" si="56">C203+C204</f>
        <v>0</v>
      </c>
      <c r="D202" s="361">
        <f t="shared" si="56"/>
        <v>0</v>
      </c>
      <c r="E202" s="361">
        <f t="shared" si="56"/>
        <v>0</v>
      </c>
      <c r="F202" s="361">
        <f t="shared" si="56"/>
        <v>0</v>
      </c>
      <c r="G202" s="361">
        <f t="shared" si="56"/>
        <v>0</v>
      </c>
      <c r="H202" s="361">
        <f t="shared" si="56"/>
        <v>0</v>
      </c>
    </row>
    <row r="203" spans="1:8" customFormat="1" ht="16.899999999999999" customHeight="1">
      <c r="A203" s="350" t="s">
        <v>417</v>
      </c>
      <c r="B203" s="351" t="s">
        <v>518</v>
      </c>
      <c r="C203" s="352">
        <v>0</v>
      </c>
      <c r="D203" s="352">
        <v>0</v>
      </c>
      <c r="E203" s="352">
        <v>0</v>
      </c>
      <c r="F203" s="352">
        <v>0</v>
      </c>
      <c r="G203" s="352">
        <v>0</v>
      </c>
      <c r="H203" s="352">
        <v>0</v>
      </c>
    </row>
    <row r="204" spans="1:8" customFormat="1" ht="16.899999999999999" customHeight="1">
      <c r="A204" s="350">
        <v>206</v>
      </c>
      <c r="B204" s="351" t="s">
        <v>519</v>
      </c>
      <c r="C204" s="352">
        <v>0</v>
      </c>
      <c r="D204" s="352">
        <v>0</v>
      </c>
      <c r="E204" s="352">
        <v>0</v>
      </c>
      <c r="F204" s="352">
        <v>0</v>
      </c>
      <c r="G204" s="352">
        <v>0</v>
      </c>
      <c r="H204" s="352">
        <v>0</v>
      </c>
    </row>
    <row r="205" spans="1:8" customFormat="1" ht="16.899999999999999" customHeight="1">
      <c r="A205" s="359">
        <v>203</v>
      </c>
      <c r="B205" s="360" t="s">
        <v>533</v>
      </c>
      <c r="C205" s="361">
        <f t="shared" ref="C205:H205" si="57">C206+C207</f>
        <v>0</v>
      </c>
      <c r="D205" s="361">
        <f t="shared" si="57"/>
        <v>0</v>
      </c>
      <c r="E205" s="361">
        <f t="shared" si="57"/>
        <v>0</v>
      </c>
      <c r="F205" s="361">
        <f t="shared" si="57"/>
        <v>0</v>
      </c>
      <c r="G205" s="361">
        <f t="shared" si="57"/>
        <v>0</v>
      </c>
      <c r="H205" s="361">
        <f t="shared" si="57"/>
        <v>0</v>
      </c>
    </row>
    <row r="206" spans="1:8" customFormat="1" ht="16.899999999999999" customHeight="1">
      <c r="A206" s="350" t="s">
        <v>417</v>
      </c>
      <c r="B206" s="351" t="s">
        <v>518</v>
      </c>
      <c r="C206" s="352">
        <v>0</v>
      </c>
      <c r="D206" s="352">
        <v>0</v>
      </c>
      <c r="E206" s="352">
        <v>0</v>
      </c>
      <c r="F206" s="352">
        <v>0</v>
      </c>
      <c r="G206" s="352">
        <v>0</v>
      </c>
      <c r="H206" s="352">
        <v>0</v>
      </c>
    </row>
    <row r="207" spans="1:8" customFormat="1" ht="16.899999999999999" customHeight="1">
      <c r="A207" s="350">
        <v>207</v>
      </c>
      <c r="B207" s="351" t="s">
        <v>519</v>
      </c>
      <c r="C207" s="352">
        <v>0</v>
      </c>
      <c r="D207" s="352">
        <v>0</v>
      </c>
      <c r="E207" s="352">
        <v>0</v>
      </c>
      <c r="F207" s="352">
        <v>0</v>
      </c>
      <c r="G207" s="352">
        <v>0</v>
      </c>
      <c r="H207" s="352">
        <v>0</v>
      </c>
    </row>
    <row r="208" spans="1:8" customFormat="1" ht="16.899999999999999" customHeight="1">
      <c r="A208" s="353">
        <v>220</v>
      </c>
      <c r="B208" s="354" t="s">
        <v>534</v>
      </c>
      <c r="C208" s="355">
        <f t="shared" ref="C208:H208" si="58">C209+C210</f>
        <v>0</v>
      </c>
      <c r="D208" s="355">
        <f t="shared" si="58"/>
        <v>0</v>
      </c>
      <c r="E208" s="355">
        <f t="shared" si="58"/>
        <v>0</v>
      </c>
      <c r="F208" s="355">
        <f t="shared" si="58"/>
        <v>0</v>
      </c>
      <c r="G208" s="355">
        <f t="shared" si="58"/>
        <v>0</v>
      </c>
      <c r="H208" s="355">
        <f t="shared" si="58"/>
        <v>0</v>
      </c>
    </row>
    <row r="209" spans="1:8" customFormat="1" ht="16.899999999999999" customHeight="1">
      <c r="A209" s="362">
        <v>221</v>
      </c>
      <c r="B209" s="363" t="s">
        <v>535</v>
      </c>
      <c r="C209" s="364">
        <v>0</v>
      </c>
      <c r="D209" s="364">
        <v>0</v>
      </c>
      <c r="E209" s="364">
        <v>0</v>
      </c>
      <c r="F209" s="364">
        <v>0</v>
      </c>
      <c r="G209" s="364">
        <v>0</v>
      </c>
      <c r="H209" s="364">
        <v>0</v>
      </c>
    </row>
    <row r="210" spans="1:8" customFormat="1" ht="16.899999999999999" customHeight="1">
      <c r="A210" s="386" t="s">
        <v>417</v>
      </c>
      <c r="B210" s="387" t="s">
        <v>536</v>
      </c>
      <c r="C210" s="388">
        <v>0</v>
      </c>
      <c r="D210" s="388">
        <v>0</v>
      </c>
      <c r="E210" s="388">
        <v>0</v>
      </c>
      <c r="F210" s="388">
        <v>0</v>
      </c>
      <c r="G210" s="388">
        <v>0</v>
      </c>
      <c r="H210" s="388">
        <v>0</v>
      </c>
    </row>
    <row r="211" spans="1:8">
      <c r="A211" s="389"/>
      <c r="C211" s="150"/>
      <c r="D211" s="150"/>
      <c r="E211" s="150"/>
      <c r="F211" s="150"/>
      <c r="G211" s="150"/>
      <c r="H211" s="150"/>
    </row>
    <row r="212" spans="1:8">
      <c r="A212" s="353" t="s">
        <v>26</v>
      </c>
      <c r="B212" s="354" t="s">
        <v>537</v>
      </c>
      <c r="C212" s="355">
        <f t="shared" ref="C212:H212" si="59">C7</f>
        <v>250498.8</v>
      </c>
      <c r="D212" s="355">
        <f t="shared" ca="1" si="59"/>
        <v>235179.47995974013</v>
      </c>
      <c r="E212" s="355">
        <f t="shared" ca="1" si="59"/>
        <v>483387.50149675278</v>
      </c>
      <c r="F212" s="355">
        <f t="shared" ca="1" si="59"/>
        <v>742821.85335843102</v>
      </c>
      <c r="G212" s="355">
        <f t="shared" ca="1" si="59"/>
        <v>1024193.5420893324</v>
      </c>
      <c r="H212" s="355">
        <f t="shared" ca="1" si="59"/>
        <v>1325764.5608865616</v>
      </c>
    </row>
    <row r="213" spans="1:8">
      <c r="A213" s="353" t="s">
        <v>26</v>
      </c>
      <c r="B213" s="354" t="s">
        <v>538</v>
      </c>
      <c r="C213" s="355">
        <f t="shared" ref="C213:H213" si="60">C134</f>
        <v>250498.8</v>
      </c>
      <c r="D213" s="355">
        <f t="shared" si="60"/>
        <v>758440.99424545432</v>
      </c>
      <c r="E213" s="355">
        <f t="shared" si="60"/>
        <v>841242.93006818159</v>
      </c>
      <c r="F213" s="355">
        <f t="shared" si="60"/>
        <v>881730.26697011979</v>
      </c>
      <c r="G213" s="355">
        <f t="shared" si="60"/>
        <v>932749.64566400822</v>
      </c>
      <c r="H213" s="355">
        <f t="shared" si="60"/>
        <v>993634.80967455928</v>
      </c>
    </row>
    <row r="214" spans="1:8">
      <c r="A214" s="353" t="s">
        <v>26</v>
      </c>
      <c r="B214" s="354" t="s">
        <v>539</v>
      </c>
      <c r="C214" s="355">
        <f>C212-C213</f>
        <v>0</v>
      </c>
      <c r="D214" s="355">
        <f t="shared" ref="D214:H214" ca="1" si="61">D212-D213</f>
        <v>-523261.51428571419</v>
      </c>
      <c r="E214" s="355">
        <f t="shared" ca="1" si="61"/>
        <v>-357855.42857142881</v>
      </c>
      <c r="F214" s="355">
        <f t="shared" ca="1" si="61"/>
        <v>-138908.41361168877</v>
      </c>
      <c r="G214" s="355">
        <f t="shared" ca="1" si="61"/>
        <v>91443.896425324143</v>
      </c>
      <c r="H214" s="355">
        <f t="shared" ca="1" si="61"/>
        <v>332129.75121200236</v>
      </c>
    </row>
    <row r="215" spans="1:8">
      <c r="A215" s="389"/>
      <c r="D215" s="390"/>
      <c r="E215" s="390"/>
      <c r="F215" s="390"/>
      <c r="G215" s="390"/>
      <c r="H215" s="390"/>
    </row>
    <row r="216" spans="1:8">
      <c r="A216" s="389" t="s">
        <v>540</v>
      </c>
      <c r="D216" s="390"/>
      <c r="E216" s="390"/>
      <c r="F216" s="390"/>
      <c r="G216" s="390"/>
      <c r="H216" s="390"/>
    </row>
    <row r="218" spans="1:8">
      <c r="D218" s="390"/>
      <c r="E218" s="390"/>
      <c r="F218" s="390"/>
      <c r="G218" s="390"/>
      <c r="H218" s="390"/>
    </row>
    <row r="219" spans="1:8">
      <c r="D219" s="390"/>
      <c r="E219" s="390"/>
      <c r="F219" s="390"/>
      <c r="G219" s="390"/>
      <c r="H219" s="390"/>
    </row>
    <row r="220" spans="1:8">
      <c r="D220" s="390"/>
      <c r="E220" s="390"/>
      <c r="F220" s="390"/>
      <c r="G220" s="390"/>
      <c r="H220" s="390"/>
    </row>
  </sheetData>
  <sheetProtection algorithmName="SHA-512" hashValue="AEpFuNPFHmnop/y8BhP4ehoqTUJojle/6JK27TEtmlCuky5JACQieX73O+Qjkn5ZBmA7WosrqlOPwlacXTjqfQ==" saltValue="b45BfKrUnmT7mrKjhkccBA==" spinCount="100000" sheet="1" objects="1" scenarios="1" selectLockedCells="1"/>
  <mergeCells count="3">
    <mergeCell ref="A3:H3"/>
    <mergeCell ref="A2:H2"/>
    <mergeCell ref="A1:H1"/>
  </mergeCells>
  <printOptions horizontalCentered="1"/>
  <pageMargins left="0.31496062992125984" right="0.31496062992125984" top="0.39370078740157483" bottom="0.39370078740157483" header="0" footer="0"/>
  <pageSetup paperSize="9" scale="83" fitToHeight="10" orientation="portrait" horizontalDpi="4294967292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glio6"/>
  <dimension ref="A1:I104"/>
  <sheetViews>
    <sheetView topLeftCell="A70" zoomScaleNormal="100" workbookViewId="0">
      <selection activeCell="A20" sqref="A20"/>
    </sheetView>
  </sheetViews>
  <sheetFormatPr defaultColWidth="9" defaultRowHeight="15.75" customHeight="1"/>
  <cols>
    <col min="1" max="1" width="89.85546875" style="2" customWidth="1"/>
    <col min="2" max="2" width="26" style="3" customWidth="1"/>
    <col min="3" max="3" width="26" style="3" hidden="1" customWidth="1"/>
    <col min="4" max="7" width="26" style="3" customWidth="1"/>
    <col min="8" max="8" width="11.42578125" style="3" bestFit="1" customWidth="1"/>
    <col min="9" max="9" width="14.7109375" style="3" bestFit="1" customWidth="1"/>
    <col min="10" max="10" width="9.7109375" style="3" bestFit="1" customWidth="1"/>
    <col min="11" max="16384" width="9" style="3"/>
  </cols>
  <sheetData>
    <row r="1" spans="1:9" customFormat="1" ht="22.5" customHeight="1">
      <c r="A1" s="554" t="str">
        <f>Menù!D3</f>
        <v>Trovato 1929</v>
      </c>
      <c r="B1" s="550"/>
      <c r="C1" s="550"/>
      <c r="D1" s="550"/>
      <c r="E1" s="550"/>
      <c r="F1" s="550"/>
      <c r="G1" s="550"/>
    </row>
    <row r="2" spans="1:9" customFormat="1" ht="43.5" customHeight="1">
      <c r="A2" s="555" t="str">
        <f>Menù!A2</f>
        <v>Budget e Business Plan</v>
      </c>
      <c r="B2" s="555"/>
      <c r="C2" s="555"/>
      <c r="D2" s="555"/>
      <c r="E2" s="555"/>
      <c r="F2" s="555"/>
      <c r="G2" s="555"/>
    </row>
    <row r="3" spans="1:9" customFormat="1" ht="15" customHeight="1">
      <c r="A3" s="556" t="s">
        <v>541</v>
      </c>
      <c r="B3" s="556"/>
      <c r="C3" s="556"/>
      <c r="D3" s="556"/>
      <c r="E3" s="556"/>
      <c r="F3" s="556"/>
      <c r="G3" s="556"/>
    </row>
    <row r="4" spans="1:9" customFormat="1" ht="10.5" customHeight="1">
      <c r="A4" s="555"/>
      <c r="B4" s="555"/>
      <c r="C4" s="555"/>
      <c r="D4" s="555"/>
      <c r="E4" s="555"/>
      <c r="F4" s="555"/>
      <c r="G4" s="555"/>
    </row>
    <row r="5" spans="1:9" ht="15.75" customHeight="1" thickBot="1">
      <c r="A5" s="586" t="s">
        <v>542</v>
      </c>
      <c r="B5" s="586"/>
      <c r="C5" s="586"/>
      <c r="D5" s="586"/>
      <c r="E5" s="586"/>
      <c r="F5" s="586"/>
      <c r="G5" s="586"/>
    </row>
    <row r="6" spans="1:9" ht="15.75" customHeight="1" thickTop="1">
      <c r="A6" s="505"/>
      <c r="B6" s="505"/>
      <c r="C6" s="505"/>
      <c r="D6" s="505"/>
      <c r="E6" s="505"/>
      <c r="F6" s="505"/>
      <c r="G6" s="505"/>
    </row>
    <row r="7" spans="1:9" ht="15.75" customHeight="1">
      <c r="A7" s="537" t="s">
        <v>108</v>
      </c>
      <c r="B7" s="506">
        <v>2025</v>
      </c>
      <c r="C7" s="506">
        <f>B7</f>
        <v>2025</v>
      </c>
      <c r="D7" s="506">
        <f>'C.E.'!D5</f>
        <v>2026</v>
      </c>
      <c r="E7" s="506">
        <f>'C.E.'!E5</f>
        <v>2027</v>
      </c>
      <c r="F7" s="506">
        <f>'C.E.'!F5</f>
        <v>2028</v>
      </c>
      <c r="G7" s="506">
        <f>'C.E.'!G5</f>
        <v>2029</v>
      </c>
    </row>
    <row r="8" spans="1:9" ht="15.75" customHeight="1">
      <c r="A8" s="505"/>
      <c r="B8" s="505"/>
      <c r="C8" s="505"/>
      <c r="D8" s="505"/>
      <c r="E8" s="505"/>
      <c r="F8" s="505"/>
      <c r="G8" s="505"/>
    </row>
    <row r="9" spans="1:9" ht="15.75" customHeight="1" thickBot="1">
      <c r="A9" s="507" t="s">
        <v>108</v>
      </c>
      <c r="B9" s="508" t="s">
        <v>86</v>
      </c>
      <c r="C9" s="508" t="s">
        <v>543</v>
      </c>
      <c r="D9" s="508" t="s">
        <v>86</v>
      </c>
      <c r="E9" s="508" t="s">
        <v>86</v>
      </c>
      <c r="F9" s="508" t="s">
        <v>86</v>
      </c>
      <c r="G9" s="508" t="s">
        <v>86</v>
      </c>
    </row>
    <row r="10" spans="1:9" ht="15.75" customHeight="1" thickTop="1">
      <c r="A10" s="548" t="s">
        <v>285</v>
      </c>
      <c r="B10" s="152">
        <f>'C.E.'!C7</f>
        <v>753479.99999999988</v>
      </c>
      <c r="C10" s="152" t="e">
        <f>#REF!</f>
        <v>#REF!</v>
      </c>
      <c r="D10" s="152">
        <f>'C.E.'!D7</f>
        <v>808377.81818181812</v>
      </c>
      <c r="E10" s="152">
        <f>'C.E.'!E7</f>
        <v>865170.15709090896</v>
      </c>
      <c r="F10" s="152">
        <f>'C.E.'!F7</f>
        <v>923910.83842909092</v>
      </c>
      <c r="G10" s="152">
        <f>'C.E.'!G7</f>
        <v>984655.07895796373</v>
      </c>
    </row>
    <row r="11" spans="1:9" ht="15.75" customHeight="1">
      <c r="A11" s="2" t="s">
        <v>544</v>
      </c>
      <c r="B11" s="141">
        <f>'C.E.'!C8</f>
        <v>0</v>
      </c>
      <c r="C11" s="141" t="e">
        <f>#REF!</f>
        <v>#REF!</v>
      </c>
      <c r="D11" s="141">
        <f>'C.E.'!D8</f>
        <v>0</v>
      </c>
      <c r="E11" s="141">
        <f>'C.E.'!E8</f>
        <v>0</v>
      </c>
      <c r="F11" s="141">
        <f>'C.E.'!F8</f>
        <v>0</v>
      </c>
      <c r="G11" s="141">
        <f>'C.E.'!G8</f>
        <v>0</v>
      </c>
    </row>
    <row r="12" spans="1:9" ht="15.75" customHeight="1">
      <c r="A12" s="2" t="s">
        <v>545</v>
      </c>
      <c r="B12" s="141">
        <f>'C.E.'!C9</f>
        <v>0</v>
      </c>
      <c r="C12" s="141" t="e">
        <f>#REF!</f>
        <v>#REF!</v>
      </c>
      <c r="D12" s="141">
        <f>'C.E.'!D9</f>
        <v>0</v>
      </c>
      <c r="E12" s="141">
        <f>'C.E.'!E9</f>
        <v>0</v>
      </c>
      <c r="F12" s="141">
        <f>'C.E.'!F9</f>
        <v>0</v>
      </c>
      <c r="G12" s="141">
        <f>'C.E.'!G9</f>
        <v>0</v>
      </c>
    </row>
    <row r="13" spans="1:9" ht="15.75" customHeight="1">
      <c r="A13" s="2" t="s">
        <v>546</v>
      </c>
      <c r="B13" s="141">
        <f>'C.E.'!C10</f>
        <v>0</v>
      </c>
      <c r="C13" s="141" t="e">
        <f>#REF!</f>
        <v>#REF!</v>
      </c>
      <c r="D13" s="141">
        <f>'C.E.'!D10</f>
        <v>0</v>
      </c>
      <c r="E13" s="141">
        <f>'C.E.'!E10</f>
        <v>0</v>
      </c>
      <c r="F13" s="141">
        <f>'C.E.'!F10</f>
        <v>0</v>
      </c>
      <c r="G13" s="141">
        <f>'C.E.'!G10</f>
        <v>0</v>
      </c>
    </row>
    <row r="14" spans="1:9" ht="15.75" customHeight="1">
      <c r="A14" s="509" t="s">
        <v>547</v>
      </c>
      <c r="B14" s="510">
        <f>'C.E.'!C6</f>
        <v>753479.99999999988</v>
      </c>
      <c r="C14" s="510" t="e">
        <f>#REF!</f>
        <v>#REF!</v>
      </c>
      <c r="D14" s="510">
        <f>'C.E.'!D6</f>
        <v>808377.81818181812</v>
      </c>
      <c r="E14" s="510">
        <f>'C.E.'!E6</f>
        <v>865170.15709090896</v>
      </c>
      <c r="F14" s="510">
        <f>'C.E.'!F6</f>
        <v>923910.83842909092</v>
      </c>
      <c r="G14" s="510">
        <f>'C.E.'!G6</f>
        <v>984655.07895796373</v>
      </c>
      <c r="I14" s="4"/>
    </row>
    <row r="15" spans="1:9" ht="15.75" customHeight="1">
      <c r="A15" s="2" t="s">
        <v>47</v>
      </c>
      <c r="B15" s="141">
        <f>'C.E.'!C15</f>
        <v>210974.4</v>
      </c>
      <c r="C15" s="141" t="e">
        <f>#REF!</f>
        <v>#REF!</v>
      </c>
      <c r="D15" s="141">
        <f>'C.E.'!D15</f>
        <v>226345.78909090909</v>
      </c>
      <c r="E15" s="141">
        <f>'C.E.'!E15</f>
        <v>242247.64398545455</v>
      </c>
      <c r="F15" s="141">
        <f>'C.E.'!F15</f>
        <v>258695.03476014547</v>
      </c>
      <c r="G15" s="141">
        <f>'C.E.'!G15</f>
        <v>275703.42210822989</v>
      </c>
    </row>
    <row r="16" spans="1:9" ht="15.75" customHeight="1">
      <c r="A16" s="2" t="s">
        <v>548</v>
      </c>
      <c r="B16" s="141">
        <f>'C.E.'!C29</f>
        <v>0</v>
      </c>
      <c r="C16" s="141" t="e">
        <f>#REF!</f>
        <v>#REF!</v>
      </c>
      <c r="D16" s="141">
        <f>'C.E.'!D29</f>
        <v>0</v>
      </c>
      <c r="E16" s="141">
        <f>'C.E.'!E29</f>
        <v>0</v>
      </c>
      <c r="F16" s="141">
        <f>'C.E.'!F29</f>
        <v>0</v>
      </c>
      <c r="G16" s="141">
        <f>'C.E.'!G29</f>
        <v>0</v>
      </c>
    </row>
    <row r="17" spans="1:9" ht="15.75" customHeight="1">
      <c r="A17" s="549" t="s">
        <v>549</v>
      </c>
      <c r="B17" s="510">
        <f>B14-B15-B16</f>
        <v>542505.59999999986</v>
      </c>
      <c r="C17" s="510" t="e">
        <f t="shared" ref="C17:G17" si="0">C14-C15-C16</f>
        <v>#REF!</v>
      </c>
      <c r="D17" s="510">
        <f t="shared" si="0"/>
        <v>582032.02909090905</v>
      </c>
      <c r="E17" s="510">
        <f t="shared" si="0"/>
        <v>622922.51310545439</v>
      </c>
      <c r="F17" s="510">
        <f t="shared" si="0"/>
        <v>665215.80366894545</v>
      </c>
      <c r="G17" s="510">
        <f t="shared" si="0"/>
        <v>708951.65684973379</v>
      </c>
    </row>
    <row r="18" spans="1:9" ht="15.75" customHeight="1">
      <c r="A18" s="2" t="s">
        <v>550</v>
      </c>
      <c r="B18" s="217">
        <f>'C.E.'!C16+'C.E.'!C17+'C.E.'!C32</f>
        <v>130798.90399999999</v>
      </c>
      <c r="C18" s="217" t="e">
        <f>#REF!+#REF!+#REF!</f>
        <v>#REF!</v>
      </c>
      <c r="D18" s="217">
        <f>'C.E.'!D16+'C.E.'!D17+'C.E.'!D32</f>
        <v>137575.88079999998</v>
      </c>
      <c r="E18" s="217">
        <f>'C.E.'!E16+'C.E.'!E17+'C.E.'!E32</f>
        <v>154544.8691104</v>
      </c>
      <c r="F18" s="217">
        <f>'C.E.'!F16+'C.E.'!F17+'C.E.'!F32</f>
        <v>157224.659600896</v>
      </c>
      <c r="G18" s="217">
        <f>'C.E.'!G16+'C.E.'!G17+'C.E.'!G32</f>
        <v>163419.95681336767</v>
      </c>
    </row>
    <row r="19" spans="1:9" ht="15.75" customHeight="1">
      <c r="A19" s="509" t="s">
        <v>551</v>
      </c>
      <c r="B19" s="511">
        <f t="shared" ref="B19:G19" si="1">B17-B18</f>
        <v>411706.69599999988</v>
      </c>
      <c r="C19" s="511" t="e">
        <f t="shared" si="1"/>
        <v>#REF!</v>
      </c>
      <c r="D19" s="511">
        <f t="shared" si="1"/>
        <v>444456.14829090907</v>
      </c>
      <c r="E19" s="511">
        <f t="shared" si="1"/>
        <v>468377.64399505442</v>
      </c>
      <c r="F19" s="511">
        <f t="shared" si="1"/>
        <v>507991.14406804944</v>
      </c>
      <c r="G19" s="511">
        <f t="shared" si="1"/>
        <v>545531.70003636612</v>
      </c>
    </row>
    <row r="20" spans="1:9" ht="15.75" customHeight="1">
      <c r="A20" s="2" t="s">
        <v>250</v>
      </c>
      <c r="B20" s="217">
        <f>'C.E.'!C18</f>
        <v>162324.65</v>
      </c>
      <c r="C20" s="217" t="e">
        <f>#REF!</f>
        <v>#REF!</v>
      </c>
      <c r="D20" s="217">
        <f>'C.E.'!D18</f>
        <v>178557.11500000002</v>
      </c>
      <c r="E20" s="217">
        <f>'C.E.'!E18</f>
        <v>187484.97075000001</v>
      </c>
      <c r="F20" s="217">
        <f>'C.E.'!F18</f>
        <v>196859.21928750002</v>
      </c>
      <c r="G20" s="217">
        <f>'C.E.'!G18</f>
        <v>206702.18025187502</v>
      </c>
    </row>
    <row r="21" spans="1:9" ht="15.75" customHeight="1">
      <c r="A21" s="549" t="s">
        <v>46</v>
      </c>
      <c r="B21" s="511">
        <f t="shared" ref="B21:G21" si="2">B19-B20</f>
        <v>249382.04599999989</v>
      </c>
      <c r="C21" s="511" t="e">
        <f t="shared" si="2"/>
        <v>#REF!</v>
      </c>
      <c r="D21" s="511">
        <f t="shared" si="2"/>
        <v>265899.03329090902</v>
      </c>
      <c r="E21" s="511">
        <f t="shared" si="2"/>
        <v>280892.67324505444</v>
      </c>
      <c r="F21" s="511">
        <f t="shared" si="2"/>
        <v>311131.92478054942</v>
      </c>
      <c r="G21" s="511">
        <f t="shared" si="2"/>
        <v>338829.5197844911</v>
      </c>
      <c r="I21" s="4"/>
    </row>
    <row r="22" spans="1:9" ht="15.75" customHeight="1">
      <c r="A22" s="2" t="s">
        <v>552</v>
      </c>
      <c r="B22" s="217">
        <f>'C.E.'!C30+'C.E.'!C31</f>
        <v>0</v>
      </c>
      <c r="C22" s="217" t="e">
        <f>#REF!+#REF!</f>
        <v>#REF!</v>
      </c>
      <c r="D22" s="217">
        <f>'C.E.'!D30+'C.E.'!D31</f>
        <v>0</v>
      </c>
      <c r="E22" s="217">
        <f>'C.E.'!E30+'C.E.'!E31</f>
        <v>0</v>
      </c>
      <c r="F22" s="217">
        <f>'C.E.'!F30+'C.E.'!F31</f>
        <v>0</v>
      </c>
      <c r="G22" s="217">
        <f>'C.E.'!G30+'C.E.'!G31</f>
        <v>0</v>
      </c>
    </row>
    <row r="23" spans="1:9" ht="15.75" customHeight="1">
      <c r="A23" s="2" t="s">
        <v>258</v>
      </c>
      <c r="B23" s="217">
        <f>'C.E.'!C24</f>
        <v>35785.542857142857</v>
      </c>
      <c r="C23" s="217" t="e">
        <f>#REF!</f>
        <v>#REF!</v>
      </c>
      <c r="D23" s="217">
        <f>'C.E.'!D24</f>
        <v>35785.542857142857</v>
      </c>
      <c r="E23" s="217">
        <f>'C.E.'!E24</f>
        <v>35785.542857142857</v>
      </c>
      <c r="F23" s="217">
        <f>'C.E.'!F24</f>
        <v>35785.542857142857</v>
      </c>
      <c r="G23" s="217">
        <f>'C.E.'!G24</f>
        <v>35785.542857142857</v>
      </c>
      <c r="I23" s="4"/>
    </row>
    <row r="24" spans="1:9" ht="15.75" customHeight="1">
      <c r="A24" s="549" t="s">
        <v>553</v>
      </c>
      <c r="B24" s="511">
        <f t="shared" ref="B24:G24" si="3">B21-B22-B23</f>
        <v>213596.50314285702</v>
      </c>
      <c r="C24" s="511" t="e">
        <f t="shared" si="3"/>
        <v>#REF!</v>
      </c>
      <c r="D24" s="511">
        <f t="shared" si="3"/>
        <v>230113.49043376616</v>
      </c>
      <c r="E24" s="511">
        <f t="shared" si="3"/>
        <v>245107.13038791157</v>
      </c>
      <c r="F24" s="511">
        <f t="shared" si="3"/>
        <v>275346.38192340656</v>
      </c>
      <c r="G24" s="511">
        <f t="shared" si="3"/>
        <v>303043.97692734824</v>
      </c>
    </row>
    <row r="25" spans="1:9" ht="15.75" customHeight="1">
      <c r="A25" s="2" t="s">
        <v>554</v>
      </c>
      <c r="B25" s="217">
        <f>'C.E.'!C35+'C.E.'!C39</f>
        <v>0</v>
      </c>
      <c r="C25" s="217" t="e">
        <f>#REF!+#REF!</f>
        <v>#REF!</v>
      </c>
      <c r="D25" s="217">
        <f>'C.E.'!D35+'C.E.'!D39</f>
        <v>0</v>
      </c>
      <c r="E25" s="217">
        <f>'C.E.'!E35+'C.E.'!E39</f>
        <v>0</v>
      </c>
      <c r="F25" s="217">
        <f>'C.E.'!F35+'C.E.'!F39</f>
        <v>0</v>
      </c>
      <c r="G25" s="217">
        <f>'C.E.'!G35+'C.E.'!G39</f>
        <v>0</v>
      </c>
    </row>
    <row r="26" spans="1:9" ht="15.75" customHeight="1">
      <c r="A26" s="2" t="s">
        <v>555</v>
      </c>
      <c r="B26" s="217">
        <f>'C.E.'!C52</f>
        <v>3059.4613636363638</v>
      </c>
      <c r="C26" s="217" t="e">
        <f>#REF!</f>
        <v>#REF!</v>
      </c>
      <c r="D26" s="217">
        <f>'C.E.'!D52</f>
        <v>3283.1699727272726</v>
      </c>
      <c r="E26" s="217">
        <f>'C.E.'!E52</f>
        <v>3514.603141636363</v>
      </c>
      <c r="F26" s="217">
        <f>'C.E.'!F52</f>
        <v>3753.9803693127274</v>
      </c>
      <c r="G26" s="217">
        <f>'C.E.'!G52</f>
        <v>4001.5268448394909</v>
      </c>
    </row>
    <row r="27" spans="1:9" ht="15.75" customHeight="1">
      <c r="A27" s="2" t="s">
        <v>556</v>
      </c>
      <c r="B27" s="217">
        <f>'C.E.'!C68</f>
        <v>0</v>
      </c>
      <c r="C27" s="217" t="e">
        <f>#REF!</f>
        <v>#REF!</v>
      </c>
      <c r="D27" s="217">
        <f>'C.E.'!D68</f>
        <v>0</v>
      </c>
      <c r="E27" s="217">
        <f>'C.E.'!E68</f>
        <v>0</v>
      </c>
      <c r="F27" s="217">
        <f>'C.E.'!F68</f>
        <v>0</v>
      </c>
      <c r="G27" s="217">
        <f>'C.E.'!G68</f>
        <v>0</v>
      </c>
    </row>
    <row r="28" spans="1:9" ht="15.75" customHeight="1">
      <c r="A28" s="2" t="s">
        <v>557</v>
      </c>
      <c r="B28" s="217">
        <f>'C.E.'!C72</f>
        <v>0</v>
      </c>
      <c r="C28" s="217" t="e">
        <f>#REF!</f>
        <v>#REF!</v>
      </c>
      <c r="D28" s="217">
        <f>'C.E.'!D72</f>
        <v>0</v>
      </c>
      <c r="E28" s="217">
        <f>'C.E.'!E72</f>
        <v>0</v>
      </c>
      <c r="F28" s="217">
        <f>'C.E.'!F72</f>
        <v>0</v>
      </c>
      <c r="G28" s="217">
        <f>'C.E.'!G72</f>
        <v>0</v>
      </c>
    </row>
    <row r="29" spans="1:9" ht="15.75" customHeight="1">
      <c r="A29" s="2" t="s">
        <v>558</v>
      </c>
      <c r="B29" s="217">
        <f>'C.E.'!C58</f>
        <v>0</v>
      </c>
      <c r="C29" s="217" t="e">
        <f>#REF!</f>
        <v>#REF!</v>
      </c>
      <c r="D29" s="217">
        <f>'C.E.'!D58</f>
        <v>0</v>
      </c>
      <c r="E29" s="217">
        <f>'C.E.'!E58</f>
        <v>0</v>
      </c>
      <c r="F29" s="217">
        <f>'C.E.'!F58</f>
        <v>0</v>
      </c>
      <c r="G29" s="217">
        <f>'C.E.'!G58</f>
        <v>0</v>
      </c>
    </row>
    <row r="30" spans="1:9" ht="15.75" customHeight="1">
      <c r="A30" s="549" t="s">
        <v>559</v>
      </c>
      <c r="B30" s="511">
        <f t="shared" ref="B30:G30" si="4">B24-SUM(B25:B29)</f>
        <v>210537.04177922066</v>
      </c>
      <c r="C30" s="511" t="e">
        <f t="shared" si="4"/>
        <v>#REF!</v>
      </c>
      <c r="D30" s="511">
        <f t="shared" si="4"/>
        <v>226830.32046103888</v>
      </c>
      <c r="E30" s="511">
        <f t="shared" si="4"/>
        <v>241592.52724627522</v>
      </c>
      <c r="F30" s="511">
        <f t="shared" si="4"/>
        <v>271592.40155409381</v>
      </c>
      <c r="G30" s="511">
        <f t="shared" si="4"/>
        <v>299042.45008250873</v>
      </c>
    </row>
    <row r="31" spans="1:9" ht="15.75" customHeight="1" thickBot="1">
      <c r="A31" s="499" t="s">
        <v>271</v>
      </c>
      <c r="B31" s="512">
        <f>'C.E.'!C77</f>
        <v>63161.112533766187</v>
      </c>
      <c r="C31" s="512" t="e">
        <f>#REF!</f>
        <v>#REF!</v>
      </c>
      <c r="D31" s="512">
        <f>'C.E.'!D77</f>
        <v>68049.096138311666</v>
      </c>
      <c r="E31" s="512">
        <f>'C.E.'!E77</f>
        <v>72477.758173882568</v>
      </c>
      <c r="F31" s="512">
        <f>'C.E.'!F77</f>
        <v>81477.720466228129</v>
      </c>
      <c r="G31" s="512">
        <f>'C.E.'!G77</f>
        <v>89712.735024752634</v>
      </c>
    </row>
    <row r="32" spans="1:9" ht="15.75" customHeight="1" thickTop="1" thickBot="1">
      <c r="A32" s="440" t="s">
        <v>560</v>
      </c>
      <c r="B32" s="513">
        <f t="shared" ref="B32:G32" si="5">B30-B31</f>
        <v>147375.92924545446</v>
      </c>
      <c r="C32" s="513" t="e">
        <f t="shared" si="5"/>
        <v>#REF!</v>
      </c>
      <c r="D32" s="513">
        <f t="shared" si="5"/>
        <v>158781.22432272721</v>
      </c>
      <c r="E32" s="513">
        <f t="shared" si="5"/>
        <v>169114.76907239266</v>
      </c>
      <c r="F32" s="513">
        <f t="shared" si="5"/>
        <v>190114.68108786567</v>
      </c>
      <c r="G32" s="513">
        <f t="shared" si="5"/>
        <v>209329.71505775611</v>
      </c>
    </row>
    <row r="33" spans="1:8" ht="15.75" customHeight="1" thickTop="1">
      <c r="B33" s="219"/>
      <c r="C33" s="219"/>
      <c r="D33" s="219"/>
      <c r="E33" s="219"/>
      <c r="F33" s="219"/>
      <c r="G33" s="219"/>
    </row>
    <row r="34" spans="1:8" ht="15.75" customHeight="1">
      <c r="A34" s="514" t="s">
        <v>561</v>
      </c>
      <c r="B34" s="515">
        <f t="shared" ref="B34:G34" si="6">B25-B26</f>
        <v>-3059.4613636363638</v>
      </c>
      <c r="C34" s="515" t="e">
        <f t="shared" si="6"/>
        <v>#REF!</v>
      </c>
      <c r="D34" s="515">
        <f t="shared" si="6"/>
        <v>-3283.1699727272726</v>
      </c>
      <c r="E34" s="515">
        <f t="shared" si="6"/>
        <v>-3514.603141636363</v>
      </c>
      <c r="F34" s="515">
        <f t="shared" si="6"/>
        <v>-3753.9803693127274</v>
      </c>
      <c r="G34" s="515">
        <f t="shared" si="6"/>
        <v>-4001.5268448394909</v>
      </c>
    </row>
    <row r="35" spans="1:8" ht="15.75" customHeight="1" thickBot="1">
      <c r="A35" s="440" t="s">
        <v>562</v>
      </c>
      <c r="B35" s="513">
        <f t="shared" ref="B35:G35" si="7">B27-B28</f>
        <v>0</v>
      </c>
      <c r="C35" s="513" t="e">
        <f t="shared" si="7"/>
        <v>#REF!</v>
      </c>
      <c r="D35" s="513">
        <f t="shared" si="7"/>
        <v>0</v>
      </c>
      <c r="E35" s="513">
        <f t="shared" si="7"/>
        <v>0</v>
      </c>
      <c r="F35" s="513">
        <f t="shared" si="7"/>
        <v>0</v>
      </c>
      <c r="G35" s="513">
        <f t="shared" si="7"/>
        <v>0</v>
      </c>
      <c r="H35" s="4"/>
    </row>
    <row r="36" spans="1:8" ht="63" hidden="1" customHeight="1" thickBot="1">
      <c r="A36" s="548"/>
      <c r="B36" s="540"/>
      <c r="C36" s="540"/>
      <c r="D36" s="540"/>
      <c r="E36" s="540"/>
      <c r="F36" s="540"/>
      <c r="G36" s="540"/>
    </row>
    <row r="37" spans="1:8" ht="15.75" hidden="1" customHeight="1" thickTop="1">
      <c r="A37" s="516" t="s">
        <v>563</v>
      </c>
      <c r="B37" s="516"/>
      <c r="C37" s="516"/>
      <c r="D37" s="516"/>
      <c r="E37" s="516"/>
      <c r="F37" s="516"/>
      <c r="G37" s="516"/>
    </row>
    <row r="38" spans="1:8" ht="15.75" hidden="1" customHeight="1" thickTop="1">
      <c r="A38" s="505"/>
      <c r="B38" s="505"/>
      <c r="C38" s="505"/>
      <c r="D38" s="505"/>
      <c r="E38" s="505"/>
      <c r="F38" s="505"/>
      <c r="G38" s="505"/>
    </row>
    <row r="39" spans="1:8" ht="15.75" hidden="1" customHeight="1" thickTop="1">
      <c r="A39" s="537" t="s">
        <v>108</v>
      </c>
      <c r="B39" s="506" t="str">
        <f t="shared" ref="B39:G43" si="8">B9</f>
        <v>Budget</v>
      </c>
      <c r="C39" s="506"/>
      <c r="D39" s="506" t="str">
        <f t="shared" si="8"/>
        <v>Budget</v>
      </c>
      <c r="E39" s="506" t="str">
        <f t="shared" si="8"/>
        <v>Budget</v>
      </c>
      <c r="F39" s="506" t="str">
        <f t="shared" si="8"/>
        <v>Budget</v>
      </c>
      <c r="G39" s="506" t="str">
        <f t="shared" si="8"/>
        <v>Budget</v>
      </c>
    </row>
    <row r="40" spans="1:8" ht="15.75" hidden="1" customHeight="1" thickTop="1">
      <c r="A40" s="548" t="s">
        <v>564</v>
      </c>
      <c r="B40" s="64">
        <f t="shared" si="8"/>
        <v>753479.99999999988</v>
      </c>
      <c r="C40" s="64"/>
      <c r="D40" s="64">
        <f t="shared" si="8"/>
        <v>808377.81818181812</v>
      </c>
      <c r="E40" s="64">
        <f t="shared" si="8"/>
        <v>865170.15709090896</v>
      </c>
      <c r="F40" s="64">
        <f t="shared" si="8"/>
        <v>923910.83842909092</v>
      </c>
      <c r="G40" s="64">
        <f t="shared" si="8"/>
        <v>984655.07895796373</v>
      </c>
    </row>
    <row r="41" spans="1:8" ht="15.75" hidden="1" customHeight="1" thickTop="1">
      <c r="A41" s="2" t="s">
        <v>565</v>
      </c>
      <c r="B41" s="42">
        <f t="shared" si="8"/>
        <v>0</v>
      </c>
      <c r="C41" s="42"/>
      <c r="D41" s="42">
        <f t="shared" si="8"/>
        <v>0</v>
      </c>
      <c r="E41" s="42">
        <f t="shared" si="8"/>
        <v>0</v>
      </c>
      <c r="F41" s="42">
        <f t="shared" si="8"/>
        <v>0</v>
      </c>
      <c r="G41" s="42">
        <f t="shared" si="8"/>
        <v>0</v>
      </c>
    </row>
    <row r="42" spans="1:8" ht="15.75" hidden="1" customHeight="1" thickTop="1">
      <c r="A42" s="2" t="s">
        <v>566</v>
      </c>
      <c r="B42" s="42">
        <f t="shared" si="8"/>
        <v>0</v>
      </c>
      <c r="C42" s="42"/>
      <c r="D42" s="42">
        <f t="shared" si="8"/>
        <v>0</v>
      </c>
      <c r="E42" s="42">
        <f t="shared" si="8"/>
        <v>0</v>
      </c>
      <c r="F42" s="42">
        <f t="shared" si="8"/>
        <v>0</v>
      </c>
      <c r="G42" s="42">
        <f t="shared" si="8"/>
        <v>0</v>
      </c>
    </row>
    <row r="43" spans="1:8" ht="15.75" hidden="1" customHeight="1" thickTop="1">
      <c r="A43" s="2" t="s">
        <v>567</v>
      </c>
      <c r="B43" s="42">
        <f t="shared" si="8"/>
        <v>0</v>
      </c>
      <c r="C43" s="42"/>
      <c r="D43" s="42">
        <f t="shared" si="8"/>
        <v>0</v>
      </c>
      <c r="E43" s="42">
        <f t="shared" si="8"/>
        <v>0</v>
      </c>
      <c r="F43" s="42">
        <f t="shared" si="8"/>
        <v>0</v>
      </c>
      <c r="G43" s="42">
        <f t="shared" si="8"/>
        <v>0</v>
      </c>
    </row>
    <row r="44" spans="1:8" ht="15.75" hidden="1" customHeight="1" thickTop="1">
      <c r="A44" s="2" t="s">
        <v>568</v>
      </c>
      <c r="B44" s="42">
        <f>B25</f>
        <v>0</v>
      </c>
      <c r="C44" s="42"/>
      <c r="D44" s="42">
        <f>D25</f>
        <v>0</v>
      </c>
      <c r="E44" s="42">
        <f>E25</f>
        <v>0</v>
      </c>
      <c r="F44" s="42">
        <f>F25</f>
        <v>0</v>
      </c>
      <c r="G44" s="42">
        <f>G25</f>
        <v>0</v>
      </c>
    </row>
    <row r="45" spans="1:8" ht="15.75" hidden="1" customHeight="1" thickTop="1">
      <c r="A45" s="2" t="s">
        <v>569</v>
      </c>
      <c r="B45" s="42">
        <f>B27</f>
        <v>0</v>
      </c>
      <c r="C45" s="42"/>
      <c r="D45" s="42">
        <f>D27</f>
        <v>0</v>
      </c>
      <c r="E45" s="42">
        <f>E27</f>
        <v>0</v>
      </c>
      <c r="F45" s="42">
        <f>F27</f>
        <v>0</v>
      </c>
      <c r="G45" s="42">
        <f>G27</f>
        <v>0</v>
      </c>
    </row>
    <row r="46" spans="1:8" ht="15.75" hidden="1" customHeight="1" thickTop="1">
      <c r="A46" s="509" t="s">
        <v>570</v>
      </c>
      <c r="B46" s="517">
        <f>SUM(B40:B45)</f>
        <v>753479.99999999988</v>
      </c>
      <c r="C46" s="517"/>
      <c r="D46" s="517">
        <f>SUM(D40:D45)</f>
        <v>808377.81818181812</v>
      </c>
      <c r="E46" s="517">
        <f>SUM(E40:E45)</f>
        <v>865170.15709090896</v>
      </c>
      <c r="F46" s="517">
        <f>SUM(F40:F45)</f>
        <v>923910.83842909092</v>
      </c>
      <c r="G46" s="517">
        <f>SUM(G40:G45)</f>
        <v>984655.07895796373</v>
      </c>
    </row>
    <row r="47" spans="1:8" ht="15.75" hidden="1" customHeight="1" thickTop="1">
      <c r="A47" s="2" t="s">
        <v>571</v>
      </c>
      <c r="B47" s="42">
        <f>'Plur. Gen. C.'!J26</f>
        <v>213374.4</v>
      </c>
      <c r="C47" s="42"/>
      <c r="D47" s="42">
        <f>'Plur. Gen. C.'!N26</f>
        <v>228913.78909090909</v>
      </c>
      <c r="E47" s="42">
        <f>'Plur. Gen. C.'!R26</f>
        <v>244944.04398545454</v>
      </c>
      <c r="F47" s="42">
        <f>'Plur. Gen. C.'!V26</f>
        <v>261526.25476014547</v>
      </c>
      <c r="G47" s="42">
        <f>'Plur. Gen. C.'!Z26</f>
        <v>278676.20310822991</v>
      </c>
    </row>
    <row r="48" spans="1:8" ht="15.75" hidden="1" customHeight="1" thickTop="1">
      <c r="A48" s="2" t="s">
        <v>572</v>
      </c>
      <c r="B48" s="42" t="e">
        <f>'C.E.'!#REF!</f>
        <v>#REF!</v>
      </c>
      <c r="C48" s="42"/>
      <c r="D48" s="42">
        <f>'C.E.'!D29</f>
        <v>0</v>
      </c>
      <c r="E48" s="42">
        <f>'C.E.'!E29</f>
        <v>0</v>
      </c>
      <c r="F48" s="42">
        <f>'C.E.'!F29</f>
        <v>0</v>
      </c>
      <c r="G48" s="42">
        <f>'C.E.'!G29</f>
        <v>0</v>
      </c>
    </row>
    <row r="49" spans="1:7" ht="15.75" hidden="1" customHeight="1" thickTop="1">
      <c r="A49" s="549" t="s">
        <v>573</v>
      </c>
      <c r="B49" s="517" t="e">
        <f>B46-B47-B48</f>
        <v>#REF!</v>
      </c>
      <c r="C49" s="517"/>
      <c r="D49" s="517">
        <f>D46-D47-D48</f>
        <v>579464.02909090905</v>
      </c>
      <c r="E49" s="517">
        <f>E46-E47-E48</f>
        <v>620226.11310545448</v>
      </c>
      <c r="F49" s="517">
        <f>F46-F47-F48</f>
        <v>662384.58366894547</v>
      </c>
      <c r="G49" s="517">
        <f>G46-G47-G48</f>
        <v>705978.87584973383</v>
      </c>
    </row>
    <row r="50" spans="1:7" ht="15.75" hidden="1" customHeight="1" thickTop="1">
      <c r="A50" s="2" t="s">
        <v>574</v>
      </c>
      <c r="B50" s="219" t="e">
        <f>'Plur. Gen. C.'!#REF!</f>
        <v>#REF!</v>
      </c>
      <c r="C50" s="219"/>
      <c r="D50" s="219" t="e">
        <f>'Plur. Gen. C.'!#REF!</f>
        <v>#REF!</v>
      </c>
      <c r="E50" s="219" t="e">
        <f>'Plur. Gen. C.'!#REF!</f>
        <v>#REF!</v>
      </c>
      <c r="F50" s="219" t="e">
        <f>'Plur. Gen. C.'!#REF!</f>
        <v>#REF!</v>
      </c>
      <c r="G50" s="219" t="e">
        <f>'Plur. Gen. C.'!#REF!</f>
        <v>#REF!</v>
      </c>
    </row>
    <row r="51" spans="1:7" ht="15.75" hidden="1" customHeight="1" thickTop="1">
      <c r="A51" s="509" t="s">
        <v>575</v>
      </c>
      <c r="B51" s="541" t="e">
        <f>B49-B50</f>
        <v>#REF!</v>
      </c>
      <c r="C51" s="541"/>
      <c r="D51" s="541" t="e">
        <f>D49-D50</f>
        <v>#REF!</v>
      </c>
      <c r="E51" s="541" t="e">
        <f>E49-E50</f>
        <v>#REF!</v>
      </c>
      <c r="F51" s="541" t="e">
        <f>F49-F50</f>
        <v>#REF!</v>
      </c>
      <c r="G51" s="541" t="e">
        <f>G49-G50</f>
        <v>#REF!</v>
      </c>
    </row>
    <row r="52" spans="1:7" ht="15.75" hidden="1" customHeight="1" thickTop="1">
      <c r="A52" s="2" t="s">
        <v>576</v>
      </c>
      <c r="B52" s="219">
        <f>'Plur. Gen. C.'!J54</f>
        <v>63664.103999999999</v>
      </c>
      <c r="C52" s="219"/>
      <c r="D52" s="219">
        <f>'Plur. Gen. C.'!N54</f>
        <v>65924.102618181816</v>
      </c>
      <c r="E52" s="219">
        <f>'Plur. Gen. C.'!R54</f>
        <v>70796.767539490917</v>
      </c>
      <c r="F52" s="219">
        <f>'Plur. Gen. C.'!V54</f>
        <v>72754.331216605089</v>
      </c>
      <c r="G52" s="219">
        <f>'Plur. Gen. C.'!Z54</f>
        <v>74800.625023788045</v>
      </c>
    </row>
    <row r="53" spans="1:7" ht="15.75" hidden="1" customHeight="1" thickTop="1">
      <c r="A53" s="222" t="s">
        <v>577</v>
      </c>
      <c r="B53" s="224">
        <f>'Plur. Gen. C.'!J83</f>
        <v>64734.8</v>
      </c>
      <c r="C53" s="224"/>
      <c r="D53" s="224">
        <f>'Plur. Gen. C.'!N83</f>
        <v>69083.778181818183</v>
      </c>
      <c r="E53" s="224">
        <f>'Plur. Gen. C.'!R83</f>
        <v>81051.701570909092</v>
      </c>
      <c r="F53" s="224">
        <f>'Plur. Gen. C.'!V83</f>
        <v>81639.108384290914</v>
      </c>
      <c r="G53" s="224">
        <f>'Plur. Gen. C.'!Z83</f>
        <v>85646.550789579633</v>
      </c>
    </row>
    <row r="54" spans="1:7" ht="15.75" hidden="1" customHeight="1" thickTop="1">
      <c r="A54" s="2" t="s">
        <v>578</v>
      </c>
      <c r="B54" s="219">
        <f>'Plur. Gen. C.'!J93</f>
        <v>162324.65</v>
      </c>
      <c r="C54" s="219"/>
      <c r="D54" s="219">
        <f>'Plur. Gen. C.'!N93</f>
        <v>178557.11500000005</v>
      </c>
      <c r="E54" s="219">
        <f>'Plur. Gen. C.'!R93</f>
        <v>187484.97074999998</v>
      </c>
      <c r="F54" s="219">
        <f>'Plur. Gen. C.'!V93</f>
        <v>196859.21928750002</v>
      </c>
      <c r="G54" s="219">
        <f>'Plur. Gen. C.'!Z93</f>
        <v>206702.18025187499</v>
      </c>
    </row>
    <row r="55" spans="1:7" ht="15.75" hidden="1" customHeight="1" thickTop="1">
      <c r="A55" s="2" t="s">
        <v>579</v>
      </c>
      <c r="B55" s="219" t="e">
        <f>'Plur. Gen. C.'!#REF!</f>
        <v>#REF!</v>
      </c>
      <c r="C55" s="219"/>
      <c r="D55" s="219" t="e">
        <f>'Plur. Gen. C.'!#REF!</f>
        <v>#REF!</v>
      </c>
      <c r="E55" s="219" t="e">
        <f>'Plur. Gen. C.'!#REF!</f>
        <v>#REF!</v>
      </c>
      <c r="F55" s="219" t="e">
        <f>'Plur. Gen. C.'!#REF!</f>
        <v>#REF!</v>
      </c>
      <c r="G55" s="219" t="e">
        <f>'Plur. Gen. C.'!#REF!</f>
        <v>#REF!</v>
      </c>
    </row>
    <row r="56" spans="1:7" ht="15.75" hidden="1" customHeight="1" thickTop="1">
      <c r="A56" s="549" t="s">
        <v>580</v>
      </c>
      <c r="B56" s="541" t="e">
        <f>B51-SUM(B52:B55)</f>
        <v>#REF!</v>
      </c>
      <c r="C56" s="541"/>
      <c r="D56" s="541" t="e">
        <f>D51-SUM(D52:D55)</f>
        <v>#REF!</v>
      </c>
      <c r="E56" s="541" t="e">
        <f>E51-SUM(E52:E55)</f>
        <v>#REF!</v>
      </c>
      <c r="F56" s="541" t="e">
        <f>F51-SUM(F52:F55)</f>
        <v>#REF!</v>
      </c>
      <c r="G56" s="541" t="e">
        <f>G51-SUM(G52:G55)</f>
        <v>#REF!</v>
      </c>
    </row>
    <row r="57" spans="1:7" ht="15.75" hidden="1" customHeight="1" thickTop="1">
      <c r="A57" s="2" t="s">
        <v>581</v>
      </c>
      <c r="B57" s="219">
        <f>Riclassificato!B23</f>
        <v>35785.542857142857</v>
      </c>
      <c r="C57" s="219"/>
      <c r="D57" s="219">
        <f>Riclassificato!D23</f>
        <v>35785.542857142857</v>
      </c>
      <c r="E57" s="219">
        <f>Riclassificato!E23</f>
        <v>35785.542857142857</v>
      </c>
      <c r="F57" s="219">
        <f>Riclassificato!F23</f>
        <v>35785.542857142857</v>
      </c>
      <c r="G57" s="219">
        <f>Riclassificato!G23</f>
        <v>35785.542857142857</v>
      </c>
    </row>
    <row r="58" spans="1:7" ht="15.75" hidden="1" customHeight="1" thickTop="1">
      <c r="A58" s="2" t="s">
        <v>552</v>
      </c>
      <c r="B58" s="219">
        <f>B22</f>
        <v>0</v>
      </c>
      <c r="C58" s="219"/>
      <c r="D58" s="219">
        <f>D22</f>
        <v>0</v>
      </c>
      <c r="E58" s="219">
        <f>E22</f>
        <v>0</v>
      </c>
      <c r="F58" s="219">
        <f>F22</f>
        <v>0</v>
      </c>
      <c r="G58" s="219">
        <f>G22</f>
        <v>0</v>
      </c>
    </row>
    <row r="59" spans="1:7" ht="15.75" hidden="1" customHeight="1" thickTop="1">
      <c r="A59" s="549" t="s">
        <v>582</v>
      </c>
      <c r="B59" s="541" t="e">
        <f>B56-SUM(B57:B58)</f>
        <v>#REF!</v>
      </c>
      <c r="C59" s="541"/>
      <c r="D59" s="541" t="e">
        <f>D56-SUM(D57:D58)</f>
        <v>#REF!</v>
      </c>
      <c r="E59" s="541" t="e">
        <f>E56-SUM(E57:E58)</f>
        <v>#REF!</v>
      </c>
      <c r="F59" s="541" t="e">
        <f>F56-SUM(F57:F58)</f>
        <v>#REF!</v>
      </c>
      <c r="G59" s="541" t="e">
        <f>G56-SUM(G57:G58)</f>
        <v>#REF!</v>
      </c>
    </row>
    <row r="60" spans="1:7" ht="15.75" hidden="1" customHeight="1" thickTop="1">
      <c r="A60" s="2" t="s">
        <v>583</v>
      </c>
      <c r="B60" s="219">
        <f>B26</f>
        <v>3059.4613636363638</v>
      </c>
      <c r="C60" s="219"/>
      <c r="D60" s="219">
        <f>D26</f>
        <v>3283.1699727272726</v>
      </c>
      <c r="E60" s="219">
        <f>E26</f>
        <v>3514.603141636363</v>
      </c>
      <c r="F60" s="219">
        <f>F26</f>
        <v>3753.9803693127274</v>
      </c>
      <c r="G60" s="219">
        <f>G26</f>
        <v>4001.5268448394909</v>
      </c>
    </row>
    <row r="61" spans="1:7" ht="15.75" hidden="1" customHeight="1" thickTop="1">
      <c r="A61" s="2" t="s">
        <v>584</v>
      </c>
      <c r="B61" s="219">
        <f t="shared" ref="B61:G62" si="9">B28</f>
        <v>0</v>
      </c>
      <c r="C61" s="219"/>
      <c r="D61" s="219">
        <f t="shared" si="9"/>
        <v>0</v>
      </c>
      <c r="E61" s="219">
        <f t="shared" si="9"/>
        <v>0</v>
      </c>
      <c r="F61" s="219">
        <f t="shared" si="9"/>
        <v>0</v>
      </c>
      <c r="G61" s="219">
        <f t="shared" si="9"/>
        <v>0</v>
      </c>
    </row>
    <row r="62" spans="1:7" ht="15.75" hidden="1" customHeight="1" thickTop="1">
      <c r="A62" s="2" t="s">
        <v>585</v>
      </c>
      <c r="B62" s="219">
        <f t="shared" si="9"/>
        <v>0</v>
      </c>
      <c r="C62" s="219"/>
      <c r="D62" s="219">
        <f t="shared" si="9"/>
        <v>0</v>
      </c>
      <c r="E62" s="219">
        <f t="shared" si="9"/>
        <v>0</v>
      </c>
      <c r="F62" s="219">
        <f t="shared" si="9"/>
        <v>0</v>
      </c>
      <c r="G62" s="219">
        <f t="shared" si="9"/>
        <v>0</v>
      </c>
    </row>
    <row r="63" spans="1:7" ht="15.75" hidden="1" customHeight="1" thickTop="1">
      <c r="A63" s="549" t="s">
        <v>586</v>
      </c>
      <c r="B63" s="541" t="e">
        <f>B59-SUM(B60:B62)</f>
        <v>#REF!</v>
      </c>
      <c r="C63" s="541"/>
      <c r="D63" s="541" t="e">
        <f>D59-SUM(D60:D62)</f>
        <v>#REF!</v>
      </c>
      <c r="E63" s="541" t="e">
        <f>E59-SUM(E60:E62)</f>
        <v>#REF!</v>
      </c>
      <c r="F63" s="541" t="e">
        <f>F59-SUM(F60:F62)</f>
        <v>#REF!</v>
      </c>
      <c r="G63" s="541" t="e">
        <f>G59-SUM(G60:G62)</f>
        <v>#REF!</v>
      </c>
    </row>
    <row r="64" spans="1:7" ht="15.75" hidden="1" customHeight="1" thickTop="1">
      <c r="A64" s="499" t="s">
        <v>587</v>
      </c>
      <c r="B64" s="518">
        <f>B31</f>
        <v>63161.112533766187</v>
      </c>
      <c r="C64" s="518"/>
      <c r="D64" s="518">
        <f>D31</f>
        <v>68049.096138311666</v>
      </c>
      <c r="E64" s="518">
        <f>E31</f>
        <v>72477.758173882568</v>
      </c>
      <c r="F64" s="518">
        <f>F31</f>
        <v>81477.720466228129</v>
      </c>
      <c r="G64" s="518">
        <f>G31</f>
        <v>89712.735024752634</v>
      </c>
    </row>
    <row r="65" spans="1:8" ht="15.75" hidden="1" customHeight="1" thickTop="1">
      <c r="A65" s="440" t="s">
        <v>588</v>
      </c>
      <c r="B65" s="484" t="e">
        <f>B63-B64</f>
        <v>#REF!</v>
      </c>
      <c r="C65" s="484"/>
      <c r="D65" s="484" t="e">
        <f>D63-D64</f>
        <v>#REF!</v>
      </c>
      <c r="E65" s="484" t="e">
        <f>E63-E64</f>
        <v>#REF!</v>
      </c>
      <c r="F65" s="484" t="e">
        <f>F63-F64</f>
        <v>#REF!</v>
      </c>
      <c r="G65" s="484" t="e">
        <f>G63-G64</f>
        <v>#REF!</v>
      </c>
    </row>
    <row r="66" spans="1:8" ht="15.75" customHeight="1" thickTop="1">
      <c r="H66" s="4"/>
    </row>
    <row r="67" spans="1:8" ht="15.75" customHeight="1">
      <c r="A67" s="514" t="s">
        <v>45</v>
      </c>
      <c r="B67" s="519">
        <f>SUMIF('Plur. Gen. C.'!AA9:AA122,"F",'Plur. Gen. C.'!J9:J122)</f>
        <v>283390.19285714283</v>
      </c>
      <c r="C67" s="519">
        <f>SUMIF('Plur. Gen. C.'!AB9:AB122,"F",'Plur. Gen. C.'!K9:K122)</f>
        <v>0</v>
      </c>
      <c r="D67" s="519">
        <f>SUMIF('Plur. Gen. C.'!AA9:AA122,"F",'Plur. Gen. C.'!N9:N122)</f>
        <v>303422.65785714285</v>
      </c>
      <c r="E67" s="519">
        <f>SUMIF('Plur. Gen. C.'!AA9:AA122,"F",'Plur. Gen. C.'!R9:R122)</f>
        <v>326750.5136071429</v>
      </c>
      <c r="F67" s="519">
        <f>SUMIF('Plur. Gen. C.'!AA9:AA122,"F",'Plur. Gen. C.'!V9:V122)</f>
        <v>336124.76214464288</v>
      </c>
      <c r="G67" s="519">
        <f>SUMIF('Plur. Gen. C.'!AA9:AA122,"F",'Plur. Gen. C.'!Z9:Z122)</f>
        <v>349367.72310901788</v>
      </c>
      <c r="H67" s="520"/>
    </row>
    <row r="68" spans="1:8" ht="15.75" customHeight="1" thickBot="1">
      <c r="A68" s="441" t="s">
        <v>44</v>
      </c>
      <c r="B68" s="521">
        <f>SUMIF('Plur. Gen. C.'!AA9:AA122,"V",'Plur. Gen. C.'!J9:J122)</f>
        <v>322713.8778974025</v>
      </c>
      <c r="C68" s="521">
        <f>SUMIF('Plur. Gen. C.'!AB9:AB122,"V",'Plur. Gen. C.'!K9:K122)</f>
        <v>0</v>
      </c>
      <c r="D68" s="521">
        <f>SUMIF('Plur. Gen. C.'!AA9:AA122,"V",'Plur. Gen. C.'!N9:N122)</f>
        <v>346173.93600194802</v>
      </c>
      <c r="E68" s="521">
        <f>SUMIF('Plur. Gen. C.'!AA9:AA122,"V",'Plur. Gen. C.'!R9:R122)</f>
        <v>369304.8744113734</v>
      </c>
      <c r="F68" s="521">
        <f>SUMIF('Plur. Gen. C.'!AA9:AA122,"V",'Plur. Gen. C.'!V9:V122)</f>
        <v>397671.39519658237</v>
      </c>
      <c r="G68" s="521">
        <f>SUMIF('Plur. Gen. C.'!AA9:AA122,"V",'Plur. Gen. C.'!Z9:Z122)</f>
        <v>425957.64079118968</v>
      </c>
    </row>
    <row r="69" spans="1:8" ht="15.75" customHeight="1" thickTop="1">
      <c r="A69" s="64"/>
      <c r="B69" s="42"/>
      <c r="C69" s="42"/>
      <c r="D69" s="42"/>
      <c r="E69" s="42"/>
      <c r="F69" s="42"/>
      <c r="G69" s="42"/>
    </row>
    <row r="70" spans="1:8" ht="15.75" customHeight="1" thickBot="1">
      <c r="A70" s="157" t="s">
        <v>589</v>
      </c>
      <c r="B70" s="522">
        <f>B67/B68</f>
        <v>0.87814690432135212</v>
      </c>
      <c r="C70" s="522" t="e">
        <f t="shared" ref="C70:G70" si="10">C67/C68</f>
        <v>#DIV/0!</v>
      </c>
      <c r="D70" s="522">
        <f t="shared" si="10"/>
        <v>0.87650347499135639</v>
      </c>
      <c r="E70" s="522">
        <f t="shared" si="10"/>
        <v>0.88477173264485898</v>
      </c>
      <c r="F70" s="522">
        <f t="shared" si="10"/>
        <v>0.845232436138599</v>
      </c>
      <c r="G70" s="522">
        <f t="shared" si="10"/>
        <v>0.82019358183149194</v>
      </c>
    </row>
    <row r="71" spans="1:8" ht="15.75" customHeight="1" thickTop="1">
      <c r="H71" s="4"/>
    </row>
    <row r="72" spans="1:8" ht="15.75" customHeight="1" thickBot="1">
      <c r="A72" s="544" t="s">
        <v>80</v>
      </c>
      <c r="B72" s="234">
        <f t="shared" ref="B72:G72" si="11">SUM(B67:B68)</f>
        <v>606104.07075454528</v>
      </c>
      <c r="C72" s="234">
        <f t="shared" si="11"/>
        <v>0</v>
      </c>
      <c r="D72" s="234">
        <f t="shared" si="11"/>
        <v>649596.59385909094</v>
      </c>
      <c r="E72" s="234">
        <f t="shared" si="11"/>
        <v>696055.38801851636</v>
      </c>
      <c r="F72" s="234">
        <f t="shared" si="11"/>
        <v>733796.15734122531</v>
      </c>
      <c r="G72" s="234">
        <f t="shared" si="11"/>
        <v>775325.36390020757</v>
      </c>
    </row>
    <row r="73" spans="1:8" ht="15.75" customHeight="1" thickTop="1" thickBot="1">
      <c r="A73" s="544" t="s">
        <v>590</v>
      </c>
      <c r="B73" s="234">
        <f>B14-B72-B32</f>
        <v>0</v>
      </c>
      <c r="C73" s="234" t="e">
        <f>SUM(C68:C71)</f>
        <v>#DIV/0!</v>
      </c>
      <c r="D73" s="234">
        <f>D14-D72-D32</f>
        <v>0</v>
      </c>
      <c r="E73" s="234">
        <f t="shared" ref="E73:G73" si="12">E14-E72-E32</f>
        <v>0</v>
      </c>
      <c r="F73" s="234">
        <f t="shared" si="12"/>
        <v>0</v>
      </c>
      <c r="G73" s="234">
        <f t="shared" si="12"/>
        <v>0</v>
      </c>
    </row>
    <row r="74" spans="1:8" ht="15.75" customHeight="1" thickTop="1">
      <c r="D74" s="90"/>
    </row>
    <row r="75" spans="1:8" ht="15.75" customHeight="1" thickBot="1">
      <c r="A75" s="109" t="s">
        <v>591</v>
      </c>
      <c r="B75" s="327">
        <f>B21/B14</f>
        <v>0.33097367680628542</v>
      </c>
      <c r="C75" s="327">
        <f>IFERROR(C21/C14,0)</f>
        <v>0</v>
      </c>
      <c r="D75" s="327">
        <f>D21/D14</f>
        <v>0.32892915578629067</v>
      </c>
      <c r="E75" s="327">
        <f>E21/E14</f>
        <v>0.32466754769898892</v>
      </c>
      <c r="F75" s="327">
        <f>F21/F14</f>
        <v>0.33675535759442055</v>
      </c>
      <c r="G75" s="327">
        <f>G21/G14</f>
        <v>0.34410985839129177</v>
      </c>
    </row>
    <row r="76" spans="1:8" ht="15.75" customHeight="1" thickTop="1" thickBot="1">
      <c r="A76" s="523" t="s">
        <v>47</v>
      </c>
      <c r="B76" s="328">
        <f>B15/B10</f>
        <v>0.28000000000000003</v>
      </c>
      <c r="C76" s="328">
        <f>IFERROR(C15/C10,0)</f>
        <v>0</v>
      </c>
      <c r="D76" s="328">
        <f>D15/D10</f>
        <v>0.28000000000000003</v>
      </c>
      <c r="E76" s="328">
        <f>E15/E10</f>
        <v>0.28000000000000003</v>
      </c>
      <c r="F76" s="328">
        <f>F15/F10</f>
        <v>0.28000000000000003</v>
      </c>
      <c r="G76" s="328">
        <f>G15/G10</f>
        <v>0.28000000000000003</v>
      </c>
    </row>
    <row r="77" spans="1:8" ht="15.75" customHeight="1" thickTop="1" thickBot="1">
      <c r="A77" s="524" t="s">
        <v>592</v>
      </c>
      <c r="B77" s="525">
        <f>B24/B10</f>
        <v>0.28347999036849958</v>
      </c>
      <c r="C77" s="525">
        <f>IFERROR(C24/C10,0)</f>
        <v>0</v>
      </c>
      <c r="D77" s="525">
        <f t="shared" ref="D77:G77" si="13">D24/D10</f>
        <v>0.28466081732837661</v>
      </c>
      <c r="E77" s="525">
        <f t="shared" si="13"/>
        <v>0.28330511446681417</v>
      </c>
      <c r="F77" s="525">
        <f t="shared" si="13"/>
        <v>0.2980226775903756</v>
      </c>
      <c r="G77" s="525">
        <f t="shared" si="13"/>
        <v>0.30776663158844642</v>
      </c>
    </row>
    <row r="78" spans="1:8" ht="15.75" customHeight="1" thickTop="1"/>
    <row r="79" spans="1:8" ht="15.75" customHeight="1" thickBot="1">
      <c r="A79" s="526" t="s">
        <v>593</v>
      </c>
      <c r="B79" s="527">
        <f>B32/B14</f>
        <v>0.19559368429879292</v>
      </c>
      <c r="C79" s="527" t="e">
        <f t="shared" ref="C79:G79" si="14">C32/C14</f>
        <v>#REF!</v>
      </c>
      <c r="D79" s="527">
        <f t="shared" si="14"/>
        <v>0.19641957108602226</v>
      </c>
      <c r="E79" s="527">
        <f t="shared" si="14"/>
        <v>0.19546995199306522</v>
      </c>
      <c r="F79" s="527">
        <f t="shared" si="14"/>
        <v>0.20577167533948867</v>
      </c>
      <c r="G79" s="527">
        <f t="shared" si="14"/>
        <v>0.21259192130434609</v>
      </c>
    </row>
    <row r="80" spans="1:8" ht="15.75" customHeight="1" thickTop="1"/>
    <row r="81" spans="1:7" ht="15.75" customHeight="1" thickBot="1">
      <c r="A81" s="528" t="s">
        <v>42</v>
      </c>
      <c r="B81" s="529">
        <f>B67/(100%-(B68/B14))</f>
        <v>495695.5330464518</v>
      </c>
      <c r="C81" s="529">
        <f>B81</f>
        <v>495695.5330464518</v>
      </c>
      <c r="D81" s="529">
        <f>D67/(100%-(D68/D14))</f>
        <v>530675.2184526932</v>
      </c>
      <c r="E81" s="529">
        <f>E67/(100%-(E68/E14))</f>
        <v>570104.02434187976</v>
      </c>
      <c r="F81" s="529">
        <f>F67/(100%-(F68/F14))</f>
        <v>590129.29343007389</v>
      </c>
      <c r="G81" s="529">
        <f>G67/(100%-(G68/G14))</f>
        <v>615729.87360036222</v>
      </c>
    </row>
    <row r="82" spans="1:7" ht="15.75" customHeight="1" thickTop="1"/>
    <row r="99" spans="1:7" ht="15.75" customHeight="1" thickBot="1">
      <c r="A99" s="528" t="s">
        <v>594</v>
      </c>
      <c r="B99" s="530">
        <f>B32/'S.P.'!C135</f>
        <v>0.58832988120284202</v>
      </c>
      <c r="C99" s="530" t="e">
        <f>C32/'S.P.'!D135</f>
        <v>#REF!</v>
      </c>
      <c r="D99" s="530">
        <f>D32/'S.P.'!E135</f>
        <v>0.19671720152895653</v>
      </c>
      <c r="E99" s="530">
        <f>E32/'S.P.'!F135</f>
        <v>0.20402470283272955</v>
      </c>
      <c r="F99" s="530">
        <f>F32/'S.P.'!G135</f>
        <v>0.22100523466734481</v>
      </c>
      <c r="G99" s="530">
        <f>G32/'S.P.'!H135</f>
        <v>0.232474402519874</v>
      </c>
    </row>
    <row r="100" spans="1:7" ht="15.75" customHeight="1" thickTop="1"/>
    <row r="101" spans="1:7" ht="15.75" hidden="1" customHeight="1" thickTop="1">
      <c r="A101" s="528" t="s">
        <v>595</v>
      </c>
      <c r="B101" s="531">
        <v>0</v>
      </c>
      <c r="C101" s="531"/>
      <c r="D101" s="531">
        <f>B101</f>
        <v>0</v>
      </c>
      <c r="E101" s="531">
        <f>D101</f>
        <v>0</v>
      </c>
      <c r="F101" s="531">
        <f>E101</f>
        <v>0</v>
      </c>
      <c r="G101" s="531">
        <f>F101</f>
        <v>0</v>
      </c>
    </row>
    <row r="103" spans="1:7" ht="15.75" hidden="1" customHeight="1">
      <c r="A103" s="109" t="s">
        <v>596</v>
      </c>
      <c r="B103" s="532">
        <f ca="1">'S.P.'!D87+'S.P.'!D127-'S.P.'!D161-'S.P.'!D162</f>
        <v>382555.4092051945</v>
      </c>
      <c r="C103" s="532"/>
      <c r="D103" s="532">
        <f ca="1">'S.P.'!E87+'S.P.'!E127-'S.P.'!E161-'S.P.'!E162</f>
        <v>789544.65506493417</v>
      </c>
      <c r="E103" s="532">
        <f ca="1">'S.P.'!F87+'S.P.'!F127-'S.P.'!F161-'S.P.'!F162</f>
        <v>1218093.775999005</v>
      </c>
      <c r="F103" s="532">
        <f ca="1">'S.P.'!G87+'S.P.'!G127-'S.P.'!G161-'S.P.'!G162</f>
        <v>1689580.1458177718</v>
      </c>
      <c r="G103" s="532">
        <f ca="1">'S.P.'!H87+'S.P.'!H127-'S.P.'!H161-'S.P.'!H162</f>
        <v>2200480.8796727573</v>
      </c>
    </row>
    <row r="104" spans="1:7" ht="15.75" hidden="1" customHeight="1"/>
  </sheetData>
  <sheetProtection algorithmName="SHA-512" hashValue="kVHc7XJ79pKOI+zr79OOaFTe83ojxzsb/tVsq0/GAEG1XgDT36/XuiddQ3ZlXafv49Q2pAPcmYanT1KhVy+vVQ==" saltValue="2qjue++CVMcFj+iEi95Tpw==" spinCount="100000" sheet="1" selectLockedCells="1"/>
  <mergeCells count="5">
    <mergeCell ref="A1:G1"/>
    <mergeCell ref="A2:G2"/>
    <mergeCell ref="A3:G3"/>
    <mergeCell ref="A5:G5"/>
    <mergeCell ref="A4:G4"/>
  </mergeCells>
  <printOptions horizontalCentered="1"/>
  <pageMargins left="0.31496062992125984" right="0.31496062992125984" top="0.39370078740157483" bottom="0.39370078740157483" header="0" footer="0"/>
  <pageSetup paperSize="9" scale="64" fitToHeight="2" orientation="landscape" r:id="rId1"/>
  <rowBreaks count="1" manualBreakCount="1">
    <brk id="81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296"/>
  <sheetViews>
    <sheetView topLeftCell="A88" workbookViewId="0">
      <selection activeCell="B136" sqref="B136"/>
    </sheetView>
  </sheetViews>
  <sheetFormatPr defaultColWidth="9" defaultRowHeight="10.5"/>
  <cols>
    <col min="1" max="1" width="33" style="1" customWidth="1"/>
    <col min="2" max="2" width="22.85546875" style="1" customWidth="1"/>
    <col min="3" max="3" width="29" style="1" customWidth="1"/>
    <col min="4" max="4" width="28.140625" style="1" customWidth="1"/>
    <col min="5" max="6" width="22.85546875" style="1" customWidth="1"/>
    <col min="7" max="16384" width="9" style="1"/>
  </cols>
  <sheetData>
    <row r="1" spans="1:6">
      <c r="A1" s="556" t="s">
        <v>597</v>
      </c>
      <c r="B1" s="556"/>
      <c r="C1" s="556"/>
      <c r="D1" s="556"/>
      <c r="E1" s="556"/>
      <c r="F1" s="556"/>
    </row>
    <row r="2" spans="1:6">
      <c r="A2" s="556"/>
      <c r="B2" s="556"/>
      <c r="C2" s="556"/>
      <c r="D2" s="556"/>
      <c r="E2" s="556"/>
      <c r="F2" s="556"/>
    </row>
    <row r="4" spans="1:6">
      <c r="A4" s="592">
        <f>Inv.!C98</f>
        <v>2025</v>
      </c>
      <c r="B4" s="593"/>
      <c r="C4" s="593"/>
      <c r="D4" s="593"/>
      <c r="E4" s="593"/>
      <c r="F4" s="594"/>
    </row>
    <row r="5" spans="1:6">
      <c r="A5" s="595"/>
      <c r="B5" s="596"/>
      <c r="C5" s="596"/>
      <c r="D5" s="596"/>
      <c r="E5" s="596"/>
      <c r="F5" s="597"/>
    </row>
    <row r="6" spans="1:6">
      <c r="A6" s="589" t="str">
        <f>Inv.!A102</f>
        <v>Venture loans</v>
      </c>
      <c r="B6" s="590"/>
      <c r="C6" s="590"/>
      <c r="D6" s="590"/>
      <c r="E6" s="590"/>
      <c r="F6" s="591"/>
    </row>
    <row r="7" spans="1:6">
      <c r="A7" s="5" t="s">
        <v>598</v>
      </c>
      <c r="B7" s="16">
        <v>0</v>
      </c>
      <c r="C7" s="5"/>
      <c r="D7" s="25" t="s">
        <v>599</v>
      </c>
      <c r="E7" s="25" t="s">
        <v>600</v>
      </c>
      <c r="F7" s="25" t="s">
        <v>601</v>
      </c>
    </row>
    <row r="8" spans="1:6">
      <c r="A8" s="7" t="s">
        <v>602</v>
      </c>
      <c r="B8" s="17">
        <v>5</v>
      </c>
      <c r="C8" s="6" t="s">
        <v>603</v>
      </c>
      <c r="D8" s="26">
        <f>12/1</f>
        <v>12</v>
      </c>
      <c r="E8" s="27">
        <f>12/3</f>
        <v>4</v>
      </c>
      <c r="F8" s="27">
        <f>12/6</f>
        <v>2</v>
      </c>
    </row>
    <row r="9" spans="1:6">
      <c r="A9" s="7" t="s">
        <v>604</v>
      </c>
      <c r="B9" s="17">
        <v>6</v>
      </c>
      <c r="C9" s="9" t="s">
        <v>605</v>
      </c>
      <c r="D9" s="28">
        <f>B9*D8</f>
        <v>72</v>
      </c>
      <c r="E9" s="29">
        <f>B9*E8</f>
        <v>24</v>
      </c>
      <c r="F9" s="29">
        <f>B9*F8</f>
        <v>12</v>
      </c>
    </row>
    <row r="10" spans="1:6">
      <c r="A10" s="9" t="s">
        <v>606</v>
      </c>
      <c r="B10" s="18" t="str">
        <f>IFERROR(IF(B11,IF(B11-B7,B11*B9-B7,""),""),0)</f>
        <v/>
      </c>
      <c r="C10" s="9" t="s">
        <v>607</v>
      </c>
      <c r="D10" s="21" t="str">
        <f>IF(AND(B7,B8,B9),PMT((B8/12)/100,D9,-B7),"")</f>
        <v/>
      </c>
      <c r="E10" s="22">
        <f>IFERROR(D10*3,0)</f>
        <v>0</v>
      </c>
      <c r="F10" s="22">
        <f>IFERROR(D10*6,0)</f>
        <v>0</v>
      </c>
    </row>
    <row r="11" spans="1:6">
      <c r="A11" s="9" t="s">
        <v>608</v>
      </c>
      <c r="B11" s="19">
        <f>IFERROR(IF(D10,D10*12,""),0)</f>
        <v>0</v>
      </c>
      <c r="C11" s="12" t="s">
        <v>609</v>
      </c>
      <c r="D11" s="23">
        <f>B12/12</f>
        <v>0</v>
      </c>
      <c r="E11" s="24">
        <f>D11*3</f>
        <v>0</v>
      </c>
      <c r="F11" s="24">
        <f>D11*6</f>
        <v>0</v>
      </c>
    </row>
    <row r="12" spans="1:6">
      <c r="A12" s="9" t="s">
        <v>610</v>
      </c>
      <c r="B12" s="19">
        <f>IFERROR(B10/B9,0)</f>
        <v>0</v>
      </c>
      <c r="C12" s="8"/>
      <c r="D12" s="10"/>
      <c r="E12" s="10"/>
      <c r="F12" s="11"/>
    </row>
    <row r="13" spans="1:6">
      <c r="A13" s="12" t="s">
        <v>611</v>
      </c>
      <c r="B13" s="20">
        <f>IFERROR(B7+B10,0)</f>
        <v>0</v>
      </c>
      <c r="C13" s="13"/>
      <c r="D13" s="88"/>
      <c r="E13" s="14"/>
      <c r="F13" s="15"/>
    </row>
    <row r="14" spans="1:6">
      <c r="A14" s="30"/>
      <c r="B14" s="30"/>
      <c r="C14" s="30"/>
      <c r="D14" s="30"/>
      <c r="E14" s="30"/>
      <c r="F14" s="30"/>
    </row>
    <row r="15" spans="1:6">
      <c r="A15" s="589" t="str">
        <f>Inv.!A103</f>
        <v>Leasing</v>
      </c>
      <c r="B15" s="590"/>
      <c r="C15" s="590"/>
      <c r="D15" s="590"/>
      <c r="E15" s="590"/>
      <c r="F15" s="591"/>
    </row>
    <row r="16" spans="1:6">
      <c r="A16" s="5" t="s">
        <v>598</v>
      </c>
      <c r="B16" s="16">
        <v>0</v>
      </c>
      <c r="C16" s="5"/>
      <c r="D16" s="25" t="s">
        <v>599</v>
      </c>
      <c r="E16" s="25" t="s">
        <v>600</v>
      </c>
      <c r="F16" s="25" t="s">
        <v>601</v>
      </c>
    </row>
    <row r="17" spans="1:6">
      <c r="A17" s="7" t="s">
        <v>602</v>
      </c>
      <c r="B17" s="17">
        <f>'Controll Panel'!B30</f>
        <v>0.02</v>
      </c>
      <c r="C17" s="6" t="s">
        <v>603</v>
      </c>
      <c r="D17" s="26">
        <f>12/1</f>
        <v>12</v>
      </c>
      <c r="E17" s="27">
        <f>12/3</f>
        <v>4</v>
      </c>
      <c r="F17" s="27">
        <f>12/6</f>
        <v>2</v>
      </c>
    </row>
    <row r="18" spans="1:6">
      <c r="A18" s="7" t="s">
        <v>604</v>
      </c>
      <c r="B18" s="17">
        <v>1</v>
      </c>
      <c r="C18" s="9" t="s">
        <v>605</v>
      </c>
      <c r="D18" s="28">
        <f>B18*D17</f>
        <v>12</v>
      </c>
      <c r="E18" s="29">
        <f>B18*E17</f>
        <v>4</v>
      </c>
      <c r="F18" s="29">
        <f>B18*F17</f>
        <v>2</v>
      </c>
    </row>
    <row r="19" spans="1:6">
      <c r="A19" s="9" t="s">
        <v>606</v>
      </c>
      <c r="B19" s="18" t="str">
        <f>IFERROR(IF(B20,IF(B20-B16,B20*B18-B16,""),""),0)</f>
        <v/>
      </c>
      <c r="C19" s="9" t="s">
        <v>607</v>
      </c>
      <c r="D19" s="21" t="str">
        <f>IF(AND(B16,B17,B18),PMT((B17/12)/100,D18,-B16),"")</f>
        <v/>
      </c>
      <c r="E19" s="22">
        <f>IFERROR(D19*3,0)</f>
        <v>0</v>
      </c>
      <c r="F19" s="22">
        <f>IFERROR(D19*6,0)</f>
        <v>0</v>
      </c>
    </row>
    <row r="20" spans="1:6">
      <c r="A20" s="9" t="s">
        <v>608</v>
      </c>
      <c r="B20" s="19">
        <f>IFERROR(IF(D19,D19*12,""),0)</f>
        <v>0</v>
      </c>
      <c r="C20" s="12" t="s">
        <v>609</v>
      </c>
      <c r="D20" s="23">
        <f>B21/12</f>
        <v>0</v>
      </c>
      <c r="E20" s="24">
        <f>D20*3</f>
        <v>0</v>
      </c>
      <c r="F20" s="24">
        <f>D20*6</f>
        <v>0</v>
      </c>
    </row>
    <row r="21" spans="1:6">
      <c r="A21" s="9" t="s">
        <v>610</v>
      </c>
      <c r="B21" s="19">
        <f>IFERROR(B19/B18,0)</f>
        <v>0</v>
      </c>
      <c r="C21" s="8"/>
      <c r="D21" s="10"/>
      <c r="E21" s="10"/>
      <c r="F21" s="11"/>
    </row>
    <row r="22" spans="1:6">
      <c r="A22" s="12" t="s">
        <v>611</v>
      </c>
      <c r="B22" s="20">
        <f>IFERROR(B16+B19,0)</f>
        <v>0</v>
      </c>
      <c r="C22" s="13"/>
      <c r="D22" s="14"/>
      <c r="E22" s="14"/>
      <c r="F22" s="15"/>
    </row>
    <row r="23" spans="1:6">
      <c r="A23" s="30"/>
      <c r="B23" s="30"/>
      <c r="C23" s="30"/>
      <c r="D23" s="30"/>
      <c r="E23" s="30"/>
      <c r="F23" s="30"/>
    </row>
    <row r="24" spans="1:6">
      <c r="A24" s="589" t="str">
        <f>Inv.!A104</f>
        <v>Cash flow</v>
      </c>
      <c r="B24" s="590"/>
      <c r="C24" s="590"/>
      <c r="D24" s="590"/>
      <c r="E24" s="590"/>
      <c r="F24" s="591"/>
    </row>
    <row r="25" spans="1:6">
      <c r="A25" s="5" t="s">
        <v>598</v>
      </c>
      <c r="B25" s="16">
        <v>0</v>
      </c>
      <c r="C25" s="5"/>
      <c r="D25" s="25" t="s">
        <v>599</v>
      </c>
      <c r="E25" s="25" t="s">
        <v>600</v>
      </c>
      <c r="F25" s="25" t="s">
        <v>601</v>
      </c>
    </row>
    <row r="26" spans="1:6">
      <c r="A26" s="7" t="s">
        <v>602</v>
      </c>
      <c r="B26" s="17">
        <v>4</v>
      </c>
      <c r="C26" s="6" t="s">
        <v>603</v>
      </c>
      <c r="D26" s="26">
        <f>12/1</f>
        <v>12</v>
      </c>
      <c r="E26" s="27">
        <f>12/3</f>
        <v>4</v>
      </c>
      <c r="F26" s="27">
        <f>12/6</f>
        <v>2</v>
      </c>
    </row>
    <row r="27" spans="1:6">
      <c r="A27" s="7" t="s">
        <v>604</v>
      </c>
      <c r="B27" s="17">
        <v>5</v>
      </c>
      <c r="C27" s="9" t="s">
        <v>605</v>
      </c>
      <c r="D27" s="28">
        <f>B27*D26</f>
        <v>60</v>
      </c>
      <c r="E27" s="29">
        <f>B27*E26</f>
        <v>20</v>
      </c>
      <c r="F27" s="29">
        <f>B27*F26</f>
        <v>10</v>
      </c>
    </row>
    <row r="28" spans="1:6">
      <c r="A28" s="9" t="s">
        <v>606</v>
      </c>
      <c r="B28" s="18" t="str">
        <f>IFERROR(IF(B29,IF(B29-B25,B29*B27-B25,""),""),0)</f>
        <v/>
      </c>
      <c r="C28" s="9" t="s">
        <v>607</v>
      </c>
      <c r="D28" s="21" t="str">
        <f>IF(AND(B25,B26,B27),PMT((B26/12)/100,D27,-B25),"")</f>
        <v/>
      </c>
      <c r="E28" s="22">
        <f>IFERROR(D28*3,0)</f>
        <v>0</v>
      </c>
      <c r="F28" s="22">
        <f>IFERROR(D28*6,0)</f>
        <v>0</v>
      </c>
    </row>
    <row r="29" spans="1:6">
      <c r="A29" s="9" t="s">
        <v>608</v>
      </c>
      <c r="B29" s="19">
        <f>IFERROR(IF(D28,D28*12,""),0)</f>
        <v>0</v>
      </c>
      <c r="C29" s="12" t="s">
        <v>609</v>
      </c>
      <c r="D29" s="23">
        <f>B30/12</f>
        <v>0</v>
      </c>
      <c r="E29" s="24">
        <f>D29*3</f>
        <v>0</v>
      </c>
      <c r="F29" s="24">
        <f>D29*6</f>
        <v>0</v>
      </c>
    </row>
    <row r="30" spans="1:6">
      <c r="A30" s="9" t="s">
        <v>610</v>
      </c>
      <c r="B30" s="19">
        <f>IFERROR(B28/B27,0)</f>
        <v>0</v>
      </c>
      <c r="C30" s="8"/>
      <c r="D30" s="10"/>
      <c r="E30" s="10"/>
      <c r="F30" s="11"/>
    </row>
    <row r="31" spans="1:6">
      <c r="A31" s="12" t="s">
        <v>611</v>
      </c>
      <c r="B31" s="20">
        <f>IFERROR(B25+B28,0)</f>
        <v>0</v>
      </c>
      <c r="C31" s="13"/>
      <c r="D31" s="14"/>
      <c r="E31" s="14"/>
      <c r="F31" s="15"/>
    </row>
    <row r="32" spans="1:6">
      <c r="A32" s="30"/>
      <c r="B32" s="30"/>
      <c r="C32" s="30"/>
      <c r="D32" s="30"/>
      <c r="E32" s="30"/>
      <c r="F32" s="30"/>
    </row>
    <row r="33" spans="1:6">
      <c r="A33" s="589" t="str">
        <f>Inv.!A105</f>
        <v>Others</v>
      </c>
      <c r="B33" s="590"/>
      <c r="C33" s="590"/>
      <c r="D33" s="590"/>
      <c r="E33" s="590"/>
      <c r="F33" s="591"/>
    </row>
    <row r="34" spans="1:6">
      <c r="A34" s="5" t="s">
        <v>598</v>
      </c>
      <c r="B34" s="16">
        <v>0</v>
      </c>
      <c r="C34" s="5"/>
      <c r="D34" s="25" t="s">
        <v>599</v>
      </c>
      <c r="E34" s="25" t="s">
        <v>600</v>
      </c>
      <c r="F34" s="25" t="s">
        <v>601</v>
      </c>
    </row>
    <row r="35" spans="1:6">
      <c r="A35" s="7" t="s">
        <v>602</v>
      </c>
      <c r="B35" s="17">
        <v>1.583</v>
      </c>
      <c r="C35" s="6" t="s">
        <v>603</v>
      </c>
      <c r="D35" s="26">
        <f>12/1</f>
        <v>12</v>
      </c>
      <c r="E35" s="27">
        <f>12/3</f>
        <v>4</v>
      </c>
      <c r="F35" s="27">
        <f>12/6</f>
        <v>2</v>
      </c>
    </row>
    <row r="36" spans="1:6">
      <c r="A36" s="7" t="s">
        <v>604</v>
      </c>
      <c r="B36" s="17">
        <v>5</v>
      </c>
      <c r="C36" s="9" t="s">
        <v>605</v>
      </c>
      <c r="D36" s="28">
        <f>B36*D35</f>
        <v>60</v>
      </c>
      <c r="E36" s="29">
        <f>B36*E35</f>
        <v>20</v>
      </c>
      <c r="F36" s="29">
        <f>B36*F35</f>
        <v>10</v>
      </c>
    </row>
    <row r="37" spans="1:6">
      <c r="A37" s="9" t="s">
        <v>606</v>
      </c>
      <c r="B37" s="18" t="str">
        <f>IFERROR(IF(B38,IF(B38-B34,B38*B36-B34,""),""),0)</f>
        <v/>
      </c>
      <c r="C37" s="9" t="s">
        <v>607</v>
      </c>
      <c r="D37" s="21" t="str">
        <f>IF(AND(B34,B35,B36),PMT((B35/12)/100,D36,-B34),"")</f>
        <v/>
      </c>
      <c r="E37" s="22">
        <f>IFERROR(D37*3,0)</f>
        <v>0</v>
      </c>
      <c r="F37" s="22">
        <f>IFERROR(D37*6,0)</f>
        <v>0</v>
      </c>
    </row>
    <row r="38" spans="1:6">
      <c r="A38" s="9" t="s">
        <v>608</v>
      </c>
      <c r="B38" s="19">
        <f>IFERROR(IF(D37,D37*12,""),0)</f>
        <v>0</v>
      </c>
      <c r="C38" s="12" t="s">
        <v>609</v>
      </c>
      <c r="D38" s="23">
        <f>B39/12</f>
        <v>0</v>
      </c>
      <c r="E38" s="24">
        <f>D38*3</f>
        <v>0</v>
      </c>
      <c r="F38" s="24">
        <f>D38*6</f>
        <v>0</v>
      </c>
    </row>
    <row r="39" spans="1:6">
      <c r="A39" s="9" t="s">
        <v>610</v>
      </c>
      <c r="B39" s="19">
        <f>IFERROR(B37/B36,0)</f>
        <v>0</v>
      </c>
      <c r="C39" s="8"/>
      <c r="D39" s="10"/>
      <c r="E39" s="10"/>
      <c r="F39" s="11"/>
    </row>
    <row r="40" spans="1:6">
      <c r="A40" s="12" t="s">
        <v>611</v>
      </c>
      <c r="B40" s="20">
        <f>IFERROR(B34+B37,0)</f>
        <v>0</v>
      </c>
      <c r="C40" s="13"/>
      <c r="D40" s="14"/>
      <c r="E40" s="14"/>
      <c r="F40" s="15"/>
    </row>
    <row r="42" spans="1:6">
      <c r="A42" s="587" t="s">
        <v>612</v>
      </c>
      <c r="B42" s="588"/>
      <c r="D42" s="587" t="s">
        <v>613</v>
      </c>
      <c r="E42" s="588"/>
    </row>
    <row r="43" spans="1:6">
      <c r="A43" s="35" t="str">
        <f>A6</f>
        <v>Venture loans</v>
      </c>
      <c r="B43" s="49">
        <f>B12</f>
        <v>0</v>
      </c>
      <c r="C43" s="118" t="b">
        <f>ISNUMBER(B43)</f>
        <v>1</v>
      </c>
      <c r="D43" s="35" t="str">
        <f>A43</f>
        <v>Venture loans</v>
      </c>
      <c r="E43" s="49">
        <f>B11-B12</f>
        <v>0</v>
      </c>
      <c r="F43" s="118" t="b">
        <f>ISNUMBER(E43)</f>
        <v>1</v>
      </c>
    </row>
    <row r="44" spans="1:6">
      <c r="A44" s="37" t="str">
        <f>A15</f>
        <v>Leasing</v>
      </c>
      <c r="B44" s="39">
        <f>B21</f>
        <v>0</v>
      </c>
      <c r="C44" s="118" t="b">
        <f>ISNUMBER(B44)</f>
        <v>1</v>
      </c>
      <c r="D44" s="37" t="str">
        <f>A44</f>
        <v>Leasing</v>
      </c>
      <c r="E44" s="39">
        <f>B20-B21</f>
        <v>0</v>
      </c>
      <c r="F44" s="118" t="b">
        <f>ISNUMBER(E44)</f>
        <v>1</v>
      </c>
    </row>
    <row r="45" spans="1:6">
      <c r="A45" s="37" t="str">
        <f>A24</f>
        <v>Cash flow</v>
      </c>
      <c r="B45" s="39">
        <f>B30</f>
        <v>0</v>
      </c>
      <c r="C45" s="118" t="b">
        <f>ISNUMBER(B45)</f>
        <v>1</v>
      </c>
      <c r="D45" s="37" t="str">
        <f>A45</f>
        <v>Cash flow</v>
      </c>
      <c r="E45" s="39">
        <f>B29-B30</f>
        <v>0</v>
      </c>
      <c r="F45" s="118" t="b">
        <f>ISNUMBER(E45)</f>
        <v>1</v>
      </c>
    </row>
    <row r="46" spans="1:6">
      <c r="A46" s="40" t="str">
        <f>A33</f>
        <v>Others</v>
      </c>
      <c r="B46" s="50">
        <f>B39</f>
        <v>0</v>
      </c>
      <c r="C46" s="118" t="b">
        <f>ISNUMBER(B46)</f>
        <v>1</v>
      </c>
      <c r="D46" s="40" t="str">
        <f>A46</f>
        <v>Others</v>
      </c>
      <c r="E46" s="50">
        <f>B38-B39</f>
        <v>0</v>
      </c>
      <c r="F46" s="118" t="b">
        <f>ISNUMBER(E46)</f>
        <v>1</v>
      </c>
    </row>
    <row r="48" spans="1:6">
      <c r="A48" s="31" t="s">
        <v>614</v>
      </c>
      <c r="B48" s="34">
        <f>SUMIFS(B43:B46,C43:C46,TRUE)</f>
        <v>0</v>
      </c>
      <c r="D48" s="31" t="s">
        <v>615</v>
      </c>
      <c r="E48" s="34">
        <f>SUMIFS(E43:E46,F43:F46,TRUE)</f>
        <v>0</v>
      </c>
    </row>
    <row r="63" spans="1:6">
      <c r="A63" s="556" t="s">
        <v>597</v>
      </c>
      <c r="B63" s="556"/>
      <c r="C63" s="556"/>
      <c r="D63" s="556"/>
      <c r="E63" s="556"/>
      <c r="F63" s="556"/>
    </row>
    <row r="64" spans="1:6">
      <c r="A64" s="556"/>
      <c r="B64" s="556"/>
      <c r="C64" s="556"/>
      <c r="D64" s="556"/>
      <c r="E64" s="556"/>
      <c r="F64" s="556"/>
    </row>
    <row r="66" spans="1:6">
      <c r="A66" s="592">
        <f>A4+1</f>
        <v>2026</v>
      </c>
      <c r="B66" s="593"/>
      <c r="C66" s="593"/>
      <c r="D66" s="593"/>
      <c r="E66" s="593"/>
      <c r="F66" s="594"/>
    </row>
    <row r="67" spans="1:6">
      <c r="A67" s="595"/>
      <c r="B67" s="596"/>
      <c r="C67" s="596"/>
      <c r="D67" s="596"/>
      <c r="E67" s="596"/>
      <c r="F67" s="597"/>
    </row>
    <row r="68" spans="1:6">
      <c r="A68" s="589" t="str">
        <f>A6</f>
        <v>Venture loans</v>
      </c>
      <c r="B68" s="590"/>
      <c r="C68" s="590"/>
      <c r="D68" s="590"/>
      <c r="E68" s="590"/>
      <c r="F68" s="591"/>
    </row>
    <row r="69" spans="1:6">
      <c r="A69" s="5" t="s">
        <v>598</v>
      </c>
      <c r="B69" s="33">
        <f>Inv.!F102</f>
        <v>0</v>
      </c>
      <c r="C69" s="5"/>
      <c r="D69" s="25" t="s">
        <v>599</v>
      </c>
      <c r="E69" s="25" t="s">
        <v>600</v>
      </c>
      <c r="F69" s="25" t="s">
        <v>601</v>
      </c>
    </row>
    <row r="70" spans="1:6">
      <c r="A70" s="7" t="s">
        <v>602</v>
      </c>
      <c r="B70" s="17" t="str">
        <f>'Controll Panel'!C30</f>
        <v>//</v>
      </c>
      <c r="C70" s="6" t="s">
        <v>603</v>
      </c>
      <c r="D70" s="26">
        <f>12/1</f>
        <v>12</v>
      </c>
      <c r="E70" s="27">
        <f>12/3</f>
        <v>4</v>
      </c>
      <c r="F70" s="27">
        <f>12/6</f>
        <v>2</v>
      </c>
    </row>
    <row r="71" spans="1:6">
      <c r="A71" s="7" t="s">
        <v>604</v>
      </c>
      <c r="B71" s="17" t="str">
        <f>'Controll Panel'!C31</f>
        <v>//</v>
      </c>
      <c r="C71" s="9" t="s">
        <v>605</v>
      </c>
      <c r="D71" s="28" t="e">
        <f>B71*D70</f>
        <v>#VALUE!</v>
      </c>
      <c r="E71" s="29" t="e">
        <f>B71*E70</f>
        <v>#VALUE!</v>
      </c>
      <c r="F71" s="29" t="e">
        <f>B71*F70</f>
        <v>#VALUE!</v>
      </c>
    </row>
    <row r="72" spans="1:6">
      <c r="A72" s="9" t="s">
        <v>606</v>
      </c>
      <c r="B72" s="18" t="e">
        <f>IF(B73,IF(B73-B69,B73*B71-B69,""),"")</f>
        <v>#VALUE!</v>
      </c>
      <c r="C72" s="9" t="s">
        <v>607</v>
      </c>
      <c r="D72" s="21" t="str">
        <f>IF(AND(B69,B70,B71),PMT((B70/12)/100,D71,-B69),"")</f>
        <v/>
      </c>
      <c r="E72" s="22" t="e">
        <f>D72*3</f>
        <v>#VALUE!</v>
      </c>
      <c r="F72" s="22" t="e">
        <f>D72*6</f>
        <v>#VALUE!</v>
      </c>
    </row>
    <row r="73" spans="1:6">
      <c r="A73" s="9" t="s">
        <v>608</v>
      </c>
      <c r="B73" s="19" t="e">
        <f>IF(D72,D72*12,"")</f>
        <v>#VALUE!</v>
      </c>
      <c r="C73" s="12" t="s">
        <v>609</v>
      </c>
      <c r="D73" s="23" t="e">
        <f>B74/12</f>
        <v>#VALUE!</v>
      </c>
      <c r="E73" s="24" t="e">
        <f>D73*3</f>
        <v>#VALUE!</v>
      </c>
      <c r="F73" s="24" t="e">
        <f>D73*6</f>
        <v>#VALUE!</v>
      </c>
    </row>
    <row r="74" spans="1:6">
      <c r="A74" s="9" t="s">
        <v>610</v>
      </c>
      <c r="B74" s="19" t="e">
        <f>B72/B71</f>
        <v>#VALUE!</v>
      </c>
      <c r="C74" s="8"/>
      <c r="D74" s="10"/>
      <c r="E74" s="10"/>
      <c r="F74" s="11"/>
    </row>
    <row r="75" spans="1:6">
      <c r="A75" s="12" t="s">
        <v>611</v>
      </c>
      <c r="B75" s="20" t="e">
        <f>B69+B72</f>
        <v>#VALUE!</v>
      </c>
      <c r="C75" s="13"/>
      <c r="D75" s="14"/>
      <c r="E75" s="14"/>
      <c r="F75" s="15"/>
    </row>
    <row r="76" spans="1:6">
      <c r="A76" s="30"/>
      <c r="B76" s="30"/>
      <c r="C76" s="30"/>
      <c r="D76" s="30"/>
      <c r="E76" s="30"/>
      <c r="F76" s="30"/>
    </row>
    <row r="77" spans="1:6">
      <c r="A77" s="589" t="str">
        <f>A15</f>
        <v>Leasing</v>
      </c>
      <c r="B77" s="590"/>
      <c r="C77" s="590"/>
      <c r="D77" s="590"/>
      <c r="E77" s="590"/>
      <c r="F77" s="591"/>
    </row>
    <row r="78" spans="1:6">
      <c r="A78" s="5" t="s">
        <v>598</v>
      </c>
      <c r="B78" s="33">
        <f>Inv.!F103</f>
        <v>0</v>
      </c>
      <c r="C78" s="5"/>
      <c r="D78" s="25" t="s">
        <v>599</v>
      </c>
      <c r="E78" s="25" t="s">
        <v>600</v>
      </c>
      <c r="F78" s="25" t="s">
        <v>601</v>
      </c>
    </row>
    <row r="79" spans="1:6">
      <c r="A79" s="7" t="s">
        <v>602</v>
      </c>
      <c r="B79" s="17" t="e">
        <f>'Controll Panel'!#REF!</f>
        <v>#REF!</v>
      </c>
      <c r="C79" s="6" t="s">
        <v>603</v>
      </c>
      <c r="D79" s="26">
        <f>12/1</f>
        <v>12</v>
      </c>
      <c r="E79" s="27">
        <f>12/3</f>
        <v>4</v>
      </c>
      <c r="F79" s="27">
        <f>12/6</f>
        <v>2</v>
      </c>
    </row>
    <row r="80" spans="1:6">
      <c r="A80" s="7" t="s">
        <v>604</v>
      </c>
      <c r="B80" s="17" t="e">
        <f>'Controll Panel'!#REF!</f>
        <v>#REF!</v>
      </c>
      <c r="C80" s="9" t="s">
        <v>605</v>
      </c>
      <c r="D80" s="28" t="e">
        <f>B80*D79</f>
        <v>#REF!</v>
      </c>
      <c r="E80" s="29" t="e">
        <f>B80*E79</f>
        <v>#REF!</v>
      </c>
      <c r="F80" s="29" t="e">
        <f>B80*F79</f>
        <v>#REF!</v>
      </c>
    </row>
    <row r="81" spans="1:6">
      <c r="A81" s="9" t="s">
        <v>606</v>
      </c>
      <c r="B81" s="18" t="e">
        <f>IF(B82,IF(B82-B78,B82*B80-B78,""),"")</f>
        <v>#REF!</v>
      </c>
      <c r="C81" s="9" t="s">
        <v>607</v>
      </c>
      <c r="D81" s="21" t="e">
        <f>IF(AND(B78,B79,B80),PMT((B79/12)/100,D80,-B78),"")</f>
        <v>#REF!</v>
      </c>
      <c r="E81" s="22" t="e">
        <f>D81*3</f>
        <v>#REF!</v>
      </c>
      <c r="F81" s="22" t="e">
        <f>D81*6</f>
        <v>#REF!</v>
      </c>
    </row>
    <row r="82" spans="1:6">
      <c r="A82" s="9" t="s">
        <v>608</v>
      </c>
      <c r="B82" s="19" t="e">
        <f>IF(D81,D81*12,"")</f>
        <v>#REF!</v>
      </c>
      <c r="C82" s="12" t="s">
        <v>609</v>
      </c>
      <c r="D82" s="23" t="e">
        <f>B83/12</f>
        <v>#REF!</v>
      </c>
      <c r="E82" s="24" t="e">
        <f>D82*3</f>
        <v>#REF!</v>
      </c>
      <c r="F82" s="24" t="e">
        <f>D82*6</f>
        <v>#REF!</v>
      </c>
    </row>
    <row r="83" spans="1:6">
      <c r="A83" s="9" t="s">
        <v>610</v>
      </c>
      <c r="B83" s="19" t="e">
        <f>B81/B80</f>
        <v>#REF!</v>
      </c>
      <c r="C83" s="8"/>
      <c r="D83" s="10"/>
      <c r="E83" s="10"/>
      <c r="F83" s="11"/>
    </row>
    <row r="84" spans="1:6">
      <c r="A84" s="12" t="s">
        <v>611</v>
      </c>
      <c r="B84" s="20" t="e">
        <f>B78+B81</f>
        <v>#REF!</v>
      </c>
      <c r="C84" s="13"/>
      <c r="D84" s="14"/>
      <c r="E84" s="14"/>
      <c r="F84" s="15"/>
    </row>
    <row r="85" spans="1:6">
      <c r="A85" s="30"/>
      <c r="B85" s="30"/>
      <c r="C85" s="30"/>
      <c r="D85" s="30"/>
      <c r="E85" s="30"/>
      <c r="F85" s="30"/>
    </row>
    <row r="86" spans="1:6">
      <c r="A86" s="589" t="str">
        <f>A24</f>
        <v>Cash flow</v>
      </c>
      <c r="B86" s="590"/>
      <c r="C86" s="590"/>
      <c r="D86" s="590"/>
      <c r="E86" s="590"/>
      <c r="F86" s="591"/>
    </row>
    <row r="87" spans="1:6">
      <c r="A87" s="5" t="s">
        <v>598</v>
      </c>
      <c r="B87" s="16">
        <f>Inv.!F104</f>
        <v>0</v>
      </c>
      <c r="C87" s="5"/>
      <c r="D87" s="25" t="s">
        <v>599</v>
      </c>
      <c r="E87" s="25" t="s">
        <v>600</v>
      </c>
      <c r="F87" s="25" t="s">
        <v>601</v>
      </c>
    </row>
    <row r="88" spans="1:6">
      <c r="A88" s="7" t="s">
        <v>602</v>
      </c>
      <c r="B88" s="17" t="e">
        <f>'Controll Panel'!#REF!</f>
        <v>#REF!</v>
      </c>
      <c r="C88" s="6" t="s">
        <v>603</v>
      </c>
      <c r="D88" s="26">
        <f>12/1</f>
        <v>12</v>
      </c>
      <c r="E88" s="27">
        <f>12/3</f>
        <v>4</v>
      </c>
      <c r="F88" s="27">
        <f>12/6</f>
        <v>2</v>
      </c>
    </row>
    <row r="89" spans="1:6">
      <c r="A89" s="7" t="s">
        <v>604</v>
      </c>
      <c r="B89" s="17" t="e">
        <f>'Controll Panel'!#REF!</f>
        <v>#REF!</v>
      </c>
      <c r="C89" s="9" t="s">
        <v>605</v>
      </c>
      <c r="D89" s="28" t="e">
        <f>B89*D88</f>
        <v>#REF!</v>
      </c>
      <c r="E89" s="29" t="e">
        <f>B89*E88</f>
        <v>#REF!</v>
      </c>
      <c r="F89" s="29" t="e">
        <f>B89*F88</f>
        <v>#REF!</v>
      </c>
    </row>
    <row r="90" spans="1:6">
      <c r="A90" s="9" t="s">
        <v>606</v>
      </c>
      <c r="B90" s="32" t="e">
        <f>IF(B91,IF(B91-B87,B91*B89-B87,""),"")</f>
        <v>#REF!</v>
      </c>
      <c r="C90" s="9" t="s">
        <v>607</v>
      </c>
      <c r="D90" s="21" t="e">
        <f>IF(AND(B87,B88,B89),PMT((B88/12)/100,D89,-B87),"")</f>
        <v>#REF!</v>
      </c>
      <c r="E90" s="22" t="e">
        <f>D90*3</f>
        <v>#REF!</v>
      </c>
      <c r="F90" s="22" t="e">
        <f>D90*6</f>
        <v>#REF!</v>
      </c>
    </row>
    <row r="91" spans="1:6">
      <c r="A91" s="9" t="s">
        <v>608</v>
      </c>
      <c r="B91" s="19" t="e">
        <f>IF(D90,D90*12,"")</f>
        <v>#REF!</v>
      </c>
      <c r="C91" s="12" t="s">
        <v>609</v>
      </c>
      <c r="D91" s="23" t="e">
        <f>B92/12</f>
        <v>#REF!</v>
      </c>
      <c r="E91" s="24" t="e">
        <f>D91*3</f>
        <v>#REF!</v>
      </c>
      <c r="F91" s="24" t="e">
        <f>D91*6</f>
        <v>#REF!</v>
      </c>
    </row>
    <row r="92" spans="1:6">
      <c r="A92" s="9" t="s">
        <v>610</v>
      </c>
      <c r="B92" s="19" t="e">
        <f>B90/B89</f>
        <v>#REF!</v>
      </c>
      <c r="C92" s="8"/>
      <c r="D92" s="10"/>
      <c r="E92" s="10"/>
      <c r="F92" s="11"/>
    </row>
    <row r="93" spans="1:6">
      <c r="A93" s="12" t="s">
        <v>611</v>
      </c>
      <c r="B93" s="20" t="e">
        <f>B87+B90</f>
        <v>#REF!</v>
      </c>
      <c r="C93" s="13"/>
      <c r="D93" s="14"/>
      <c r="E93" s="14"/>
      <c r="F93" s="15"/>
    </row>
    <row r="94" spans="1:6">
      <c r="A94" s="30"/>
      <c r="B94" s="30"/>
      <c r="C94" s="30"/>
      <c r="D94" s="30"/>
      <c r="E94" s="30"/>
      <c r="F94" s="30"/>
    </row>
    <row r="95" spans="1:6">
      <c r="A95" s="589" t="str">
        <f>A33</f>
        <v>Others</v>
      </c>
      <c r="B95" s="590"/>
      <c r="C95" s="590"/>
      <c r="D95" s="590"/>
      <c r="E95" s="590"/>
      <c r="F95" s="591"/>
    </row>
    <row r="96" spans="1:6">
      <c r="A96" s="5" t="s">
        <v>598</v>
      </c>
      <c r="B96" s="16">
        <f>Inv.!F105</f>
        <v>0</v>
      </c>
      <c r="C96" s="5"/>
      <c r="D96" s="25" t="s">
        <v>599</v>
      </c>
      <c r="E96" s="25" t="s">
        <v>600</v>
      </c>
      <c r="F96" s="25" t="s">
        <v>601</v>
      </c>
    </row>
    <row r="97" spans="1:6">
      <c r="A97" s="7" t="s">
        <v>602</v>
      </c>
      <c r="B97" s="17" t="e">
        <f>'Controll Panel'!#REF!</f>
        <v>#REF!</v>
      </c>
      <c r="C97" s="6" t="s">
        <v>603</v>
      </c>
      <c r="D97" s="26">
        <f>12/1</f>
        <v>12</v>
      </c>
      <c r="E97" s="27">
        <f>12/3</f>
        <v>4</v>
      </c>
      <c r="F97" s="27">
        <f>12/6</f>
        <v>2</v>
      </c>
    </row>
    <row r="98" spans="1:6">
      <c r="A98" s="7" t="s">
        <v>604</v>
      </c>
      <c r="B98" s="17" t="e">
        <f>'Controll Panel'!#REF!</f>
        <v>#REF!</v>
      </c>
      <c r="C98" s="9" t="s">
        <v>605</v>
      </c>
      <c r="D98" s="28" t="e">
        <f>B98*D97</f>
        <v>#REF!</v>
      </c>
      <c r="E98" s="29" t="e">
        <f>B98*E97</f>
        <v>#REF!</v>
      </c>
      <c r="F98" s="29" t="e">
        <f>B98*F97</f>
        <v>#REF!</v>
      </c>
    </row>
    <row r="99" spans="1:6">
      <c r="A99" s="9" t="s">
        <v>606</v>
      </c>
      <c r="B99" s="18" t="e">
        <f>IF(B100,IF(B100-B96,B100*B98-B96,""),"")</f>
        <v>#REF!</v>
      </c>
      <c r="C99" s="9" t="s">
        <v>607</v>
      </c>
      <c r="D99" s="21" t="e">
        <f>IF(AND(B96,B97,B98),PMT((B97/12)/100,D98,-B96),"")</f>
        <v>#REF!</v>
      </c>
      <c r="E99" s="22" t="e">
        <f>D99*3</f>
        <v>#REF!</v>
      </c>
      <c r="F99" s="22" t="e">
        <f>D99*6</f>
        <v>#REF!</v>
      </c>
    </row>
    <row r="100" spans="1:6">
      <c r="A100" s="9" t="s">
        <v>608</v>
      </c>
      <c r="B100" s="19" t="e">
        <f>IF(D99,D99*12,"")</f>
        <v>#REF!</v>
      </c>
      <c r="C100" s="12" t="s">
        <v>609</v>
      </c>
      <c r="D100" s="23" t="e">
        <f>B101/12</f>
        <v>#REF!</v>
      </c>
      <c r="E100" s="24" t="e">
        <f>D100*3</f>
        <v>#REF!</v>
      </c>
      <c r="F100" s="24" t="e">
        <f>D100*6</f>
        <v>#REF!</v>
      </c>
    </row>
    <row r="101" spans="1:6">
      <c r="A101" s="9" t="s">
        <v>610</v>
      </c>
      <c r="B101" s="19" t="e">
        <f>B99/B98</f>
        <v>#REF!</v>
      </c>
      <c r="C101" s="8"/>
      <c r="D101" s="10"/>
      <c r="E101" s="10"/>
      <c r="F101" s="11"/>
    </row>
    <row r="102" spans="1:6">
      <c r="A102" s="12" t="s">
        <v>611</v>
      </c>
      <c r="B102" s="20" t="e">
        <f>B96+B99</f>
        <v>#REF!</v>
      </c>
      <c r="C102" s="13"/>
      <c r="D102" s="14"/>
      <c r="E102" s="14"/>
      <c r="F102" s="15"/>
    </row>
    <row r="104" spans="1:6">
      <c r="A104" s="587" t="s">
        <v>612</v>
      </c>
      <c r="B104" s="588"/>
      <c r="D104" s="587" t="s">
        <v>613</v>
      </c>
      <c r="E104" s="588"/>
    </row>
    <row r="105" spans="1:6">
      <c r="A105" s="35" t="str">
        <f>A68</f>
        <v>Venture loans</v>
      </c>
      <c r="B105" s="36" t="e">
        <f>B72</f>
        <v>#VALUE!</v>
      </c>
      <c r="C105" s="44" t="b">
        <f>ISNUMBER(B105)</f>
        <v>0</v>
      </c>
      <c r="D105" s="35" t="str">
        <f>A105</f>
        <v>Venture loans</v>
      </c>
      <c r="E105" s="36" t="e">
        <f>B73-B74</f>
        <v>#VALUE!</v>
      </c>
      <c r="F105" s="44" t="b">
        <f>ISNUMBER(E105)</f>
        <v>0</v>
      </c>
    </row>
    <row r="106" spans="1:6">
      <c r="A106" s="37" t="str">
        <f>A77</f>
        <v>Leasing</v>
      </c>
      <c r="B106" s="38" t="e">
        <f>B81</f>
        <v>#REF!</v>
      </c>
      <c r="C106" s="44" t="b">
        <f>ISNUMBER(B106)</f>
        <v>0</v>
      </c>
      <c r="D106" s="37" t="str">
        <f>A106</f>
        <v>Leasing</v>
      </c>
      <c r="E106" s="38" t="e">
        <f>B82-B83</f>
        <v>#REF!</v>
      </c>
      <c r="F106" s="44" t="b">
        <f>ISNUMBER(E106)</f>
        <v>0</v>
      </c>
    </row>
    <row r="107" spans="1:6">
      <c r="A107" s="37" t="str">
        <f>A86</f>
        <v>Cash flow</v>
      </c>
      <c r="B107" s="39" t="e">
        <f>B92</f>
        <v>#REF!</v>
      </c>
      <c r="C107" s="44" t="b">
        <f>ISNUMBER(B107)</f>
        <v>0</v>
      </c>
      <c r="D107" s="37" t="str">
        <f>A107</f>
        <v>Cash flow</v>
      </c>
      <c r="E107" s="39" t="e">
        <f>B91-B92</f>
        <v>#REF!</v>
      </c>
      <c r="F107" s="44" t="b">
        <f>ISNUMBER(E107)</f>
        <v>0</v>
      </c>
    </row>
    <row r="108" spans="1:6">
      <c r="A108" s="40" t="str">
        <f>A95</f>
        <v>Others</v>
      </c>
      <c r="B108" s="41" t="e">
        <f>B99</f>
        <v>#REF!</v>
      </c>
      <c r="C108" s="44" t="b">
        <f>ISNUMBER(B108)</f>
        <v>0</v>
      </c>
      <c r="D108" s="40" t="str">
        <f>A108</f>
        <v>Others</v>
      </c>
      <c r="E108" s="41" t="e">
        <f>B100-B101</f>
        <v>#REF!</v>
      </c>
      <c r="F108" s="44" t="b">
        <f>ISNUMBER(E108)</f>
        <v>0</v>
      </c>
    </row>
    <row r="110" spans="1:6">
      <c r="A110" s="31" t="s">
        <v>614</v>
      </c>
      <c r="B110" s="34">
        <f>SUMIFS(B105:B108,C105:C108,TRUE)</f>
        <v>0</v>
      </c>
      <c r="D110" s="31" t="s">
        <v>615</v>
      </c>
      <c r="E110" s="34">
        <f>SUMIFS(E105:E108,F105:F108,TRUE)</f>
        <v>0</v>
      </c>
    </row>
    <row r="125" spans="1:6">
      <c r="A125" s="556" t="s">
        <v>597</v>
      </c>
      <c r="B125" s="556"/>
      <c r="C125" s="556"/>
      <c r="D125" s="556"/>
      <c r="E125" s="556"/>
      <c r="F125" s="556"/>
    </row>
    <row r="126" spans="1:6">
      <c r="A126" s="556"/>
      <c r="B126" s="556"/>
      <c r="C126" s="556"/>
      <c r="D126" s="556"/>
      <c r="E126" s="556"/>
      <c r="F126" s="556"/>
    </row>
    <row r="128" spans="1:6">
      <c r="A128" s="592">
        <f>A66+1</f>
        <v>2027</v>
      </c>
      <c r="B128" s="593"/>
      <c r="C128" s="593"/>
      <c r="D128" s="593"/>
      <c r="E128" s="593"/>
      <c r="F128" s="594"/>
    </row>
    <row r="129" spans="1:6">
      <c r="A129" s="595"/>
      <c r="B129" s="596"/>
      <c r="C129" s="596"/>
      <c r="D129" s="596"/>
      <c r="E129" s="596"/>
      <c r="F129" s="597"/>
    </row>
    <row r="130" spans="1:6">
      <c r="A130" s="589" t="str">
        <f>A68</f>
        <v>Venture loans</v>
      </c>
      <c r="B130" s="590"/>
      <c r="C130" s="590"/>
      <c r="D130" s="590"/>
      <c r="E130" s="590"/>
      <c r="F130" s="591"/>
    </row>
    <row r="131" spans="1:6">
      <c r="A131" s="5" t="s">
        <v>598</v>
      </c>
      <c r="B131" s="16">
        <f>Inv.!I102</f>
        <v>0</v>
      </c>
      <c r="C131" s="5"/>
      <c r="D131" s="25" t="s">
        <v>599</v>
      </c>
      <c r="E131" s="25" t="s">
        <v>600</v>
      </c>
      <c r="F131" s="25" t="s">
        <v>601</v>
      </c>
    </row>
    <row r="132" spans="1:6">
      <c r="A132" s="7" t="s">
        <v>602</v>
      </c>
      <c r="B132" s="17" t="str">
        <f>'Controll Panel'!D30</f>
        <v>//</v>
      </c>
      <c r="C132" s="6" t="s">
        <v>603</v>
      </c>
      <c r="D132" s="26">
        <f>12/1</f>
        <v>12</v>
      </c>
      <c r="E132" s="27">
        <f>12/3</f>
        <v>4</v>
      </c>
      <c r="F132" s="27">
        <f>12/6</f>
        <v>2</v>
      </c>
    </row>
    <row r="133" spans="1:6">
      <c r="A133" s="7" t="s">
        <v>604</v>
      </c>
      <c r="B133" s="17" t="str">
        <f>'Controll Panel'!D31</f>
        <v>//</v>
      </c>
      <c r="C133" s="9" t="s">
        <v>605</v>
      </c>
      <c r="D133" s="28" t="e">
        <f>B133*D132</f>
        <v>#VALUE!</v>
      </c>
      <c r="E133" s="29" t="e">
        <f>B133*E132</f>
        <v>#VALUE!</v>
      </c>
      <c r="F133" s="29" t="e">
        <f>B133*F132</f>
        <v>#VALUE!</v>
      </c>
    </row>
    <row r="134" spans="1:6">
      <c r="A134" s="9" t="s">
        <v>606</v>
      </c>
      <c r="B134" s="18" t="e">
        <f>IF(B135,IF(B135-B131,B135*B133-B131,""),"")</f>
        <v>#VALUE!</v>
      </c>
      <c r="C134" s="9" t="s">
        <v>607</v>
      </c>
      <c r="D134" s="21" t="str">
        <f>IF(AND(B131,B132,B133),PMT((B132/12)/100,D133,-B131),"")</f>
        <v/>
      </c>
      <c r="E134" s="22" t="e">
        <f>D134*3</f>
        <v>#VALUE!</v>
      </c>
      <c r="F134" s="22" t="e">
        <f>D134*6</f>
        <v>#VALUE!</v>
      </c>
    </row>
    <row r="135" spans="1:6">
      <c r="A135" s="9" t="s">
        <v>608</v>
      </c>
      <c r="B135" s="19" t="e">
        <f>IF(D134,D134*12,"")</f>
        <v>#VALUE!</v>
      </c>
      <c r="C135" s="12" t="s">
        <v>609</v>
      </c>
      <c r="D135" s="23" t="e">
        <f>B136/12</f>
        <v>#VALUE!</v>
      </c>
      <c r="E135" s="24" t="e">
        <f>D135*3</f>
        <v>#VALUE!</v>
      </c>
      <c r="F135" s="24" t="e">
        <f>D135*6</f>
        <v>#VALUE!</v>
      </c>
    </row>
    <row r="136" spans="1:6">
      <c r="A136" s="9" t="s">
        <v>610</v>
      </c>
      <c r="B136" s="19" t="e">
        <f>B134/B133</f>
        <v>#VALUE!</v>
      </c>
      <c r="C136" s="8"/>
      <c r="D136" s="10"/>
      <c r="E136" s="10"/>
      <c r="F136" s="11"/>
    </row>
    <row r="137" spans="1:6">
      <c r="A137" s="12" t="s">
        <v>611</v>
      </c>
      <c r="B137" s="20" t="e">
        <f>B131+B134</f>
        <v>#VALUE!</v>
      </c>
      <c r="C137" s="13"/>
      <c r="D137" s="14"/>
      <c r="E137" s="14"/>
      <c r="F137" s="15"/>
    </row>
    <row r="138" spans="1:6">
      <c r="A138" s="30"/>
      <c r="B138" s="30"/>
      <c r="C138" s="30"/>
      <c r="D138" s="30"/>
      <c r="E138" s="30"/>
      <c r="F138" s="30"/>
    </row>
    <row r="139" spans="1:6">
      <c r="A139" s="589" t="str">
        <f>A77</f>
        <v>Leasing</v>
      </c>
      <c r="B139" s="590"/>
      <c r="C139" s="590"/>
      <c r="D139" s="590"/>
      <c r="E139" s="590"/>
      <c r="F139" s="591"/>
    </row>
    <row r="140" spans="1:6">
      <c r="A140" s="5" t="s">
        <v>598</v>
      </c>
      <c r="B140" s="16">
        <f>Inv.!I103</f>
        <v>0</v>
      </c>
      <c r="C140" s="5"/>
      <c r="D140" s="25" t="s">
        <v>599</v>
      </c>
      <c r="E140" s="25" t="s">
        <v>600</v>
      </c>
      <c r="F140" s="25" t="s">
        <v>601</v>
      </c>
    </row>
    <row r="141" spans="1:6">
      <c r="A141" s="7" t="s">
        <v>602</v>
      </c>
      <c r="B141" s="17" t="e">
        <f>'Controll Panel'!#REF!</f>
        <v>#REF!</v>
      </c>
      <c r="C141" s="6" t="s">
        <v>603</v>
      </c>
      <c r="D141" s="26">
        <f>12/1</f>
        <v>12</v>
      </c>
      <c r="E141" s="27">
        <f>12/3</f>
        <v>4</v>
      </c>
      <c r="F141" s="27">
        <f>12/6</f>
        <v>2</v>
      </c>
    </row>
    <row r="142" spans="1:6">
      <c r="A142" s="7" t="s">
        <v>604</v>
      </c>
      <c r="B142" s="17" t="e">
        <f>'Controll Panel'!#REF!</f>
        <v>#REF!</v>
      </c>
      <c r="C142" s="9" t="s">
        <v>605</v>
      </c>
      <c r="D142" s="28" t="e">
        <f>B142*D141</f>
        <v>#REF!</v>
      </c>
      <c r="E142" s="29" t="e">
        <f>B142*E141</f>
        <v>#REF!</v>
      </c>
      <c r="F142" s="29" t="e">
        <f>B142*F141</f>
        <v>#REF!</v>
      </c>
    </row>
    <row r="143" spans="1:6">
      <c r="A143" s="9" t="s">
        <v>606</v>
      </c>
      <c r="B143" s="18" t="e">
        <f>IF(B144,IF(B144-B140,B144*B142-B140,""),"")</f>
        <v>#REF!</v>
      </c>
      <c r="C143" s="9" t="s">
        <v>607</v>
      </c>
      <c r="D143" s="21" t="e">
        <f>IF(AND(B140,B141,B142),PMT((B141/12)/100,D142,-B140),"")</f>
        <v>#REF!</v>
      </c>
      <c r="E143" s="22" t="e">
        <f>D143*3</f>
        <v>#REF!</v>
      </c>
      <c r="F143" s="22" t="e">
        <f>D143*6</f>
        <v>#REF!</v>
      </c>
    </row>
    <row r="144" spans="1:6">
      <c r="A144" s="9" t="s">
        <v>608</v>
      </c>
      <c r="B144" s="19" t="e">
        <f>IF(D143,D143*12,"")</f>
        <v>#REF!</v>
      </c>
      <c r="C144" s="12" t="s">
        <v>609</v>
      </c>
      <c r="D144" s="23" t="e">
        <f>B145/12</f>
        <v>#REF!</v>
      </c>
      <c r="E144" s="24" t="e">
        <f>D144*3</f>
        <v>#REF!</v>
      </c>
      <c r="F144" s="24" t="e">
        <f>D144*6</f>
        <v>#REF!</v>
      </c>
    </row>
    <row r="145" spans="1:6">
      <c r="A145" s="9" t="s">
        <v>610</v>
      </c>
      <c r="B145" s="19" t="e">
        <f>B143/B142</f>
        <v>#REF!</v>
      </c>
      <c r="C145" s="8"/>
      <c r="D145" s="10"/>
      <c r="E145" s="10"/>
      <c r="F145" s="11"/>
    </row>
    <row r="146" spans="1:6">
      <c r="A146" s="12" t="s">
        <v>611</v>
      </c>
      <c r="B146" s="20" t="e">
        <f>B140+B143</f>
        <v>#REF!</v>
      </c>
      <c r="C146" s="13"/>
      <c r="D146" s="14"/>
      <c r="E146" s="14"/>
      <c r="F146" s="15"/>
    </row>
    <row r="147" spans="1:6">
      <c r="A147" s="30"/>
      <c r="B147" s="30"/>
      <c r="C147" s="30"/>
      <c r="D147" s="30"/>
      <c r="E147" s="30"/>
      <c r="F147" s="30"/>
    </row>
    <row r="148" spans="1:6">
      <c r="A148" s="589" t="str">
        <f>A86</f>
        <v>Cash flow</v>
      </c>
      <c r="B148" s="590"/>
      <c r="C148" s="590"/>
      <c r="D148" s="590"/>
      <c r="E148" s="590"/>
      <c r="F148" s="591"/>
    </row>
    <row r="149" spans="1:6">
      <c r="A149" s="5" t="s">
        <v>598</v>
      </c>
      <c r="B149" s="16">
        <f>Inv.!I104</f>
        <v>0</v>
      </c>
      <c r="C149" s="5"/>
      <c r="D149" s="25" t="s">
        <v>599</v>
      </c>
      <c r="E149" s="25" t="s">
        <v>600</v>
      </c>
      <c r="F149" s="25" t="s">
        <v>601</v>
      </c>
    </row>
    <row r="150" spans="1:6">
      <c r="A150" s="7" t="s">
        <v>602</v>
      </c>
      <c r="B150" s="17" t="e">
        <f>'Controll Panel'!#REF!</f>
        <v>#REF!</v>
      </c>
      <c r="C150" s="6" t="s">
        <v>603</v>
      </c>
      <c r="D150" s="26">
        <f>12/1</f>
        <v>12</v>
      </c>
      <c r="E150" s="27">
        <f>12/3</f>
        <v>4</v>
      </c>
      <c r="F150" s="27">
        <f>12/6</f>
        <v>2</v>
      </c>
    </row>
    <row r="151" spans="1:6">
      <c r="A151" s="7" t="s">
        <v>604</v>
      </c>
      <c r="B151" s="17" t="e">
        <f>'Controll Panel'!#REF!</f>
        <v>#REF!</v>
      </c>
      <c r="C151" s="9" t="s">
        <v>605</v>
      </c>
      <c r="D151" s="28" t="e">
        <f>B151*D150</f>
        <v>#REF!</v>
      </c>
      <c r="E151" s="29" t="e">
        <f>B151*E150</f>
        <v>#REF!</v>
      </c>
      <c r="F151" s="29" t="e">
        <f>B151*F150</f>
        <v>#REF!</v>
      </c>
    </row>
    <row r="152" spans="1:6">
      <c r="A152" s="9" t="s">
        <v>606</v>
      </c>
      <c r="B152" s="18" t="e">
        <f>IF(B153,IF(B153-B149,B153*B151-B149,""),"")</f>
        <v>#REF!</v>
      </c>
      <c r="C152" s="9" t="s">
        <v>607</v>
      </c>
      <c r="D152" s="21" t="e">
        <f>IF(AND(B149,B150,B151),PMT((B150/12)/100,D151,-B149),"")</f>
        <v>#REF!</v>
      </c>
      <c r="E152" s="22" t="e">
        <f>D152*3</f>
        <v>#REF!</v>
      </c>
      <c r="F152" s="22" t="e">
        <f>D152*6</f>
        <v>#REF!</v>
      </c>
    </row>
    <row r="153" spans="1:6">
      <c r="A153" s="9" t="s">
        <v>608</v>
      </c>
      <c r="B153" s="19" t="e">
        <f>IF(D152,D152*12,"")</f>
        <v>#REF!</v>
      </c>
      <c r="C153" s="12" t="s">
        <v>609</v>
      </c>
      <c r="D153" s="23" t="e">
        <f>B154/12</f>
        <v>#REF!</v>
      </c>
      <c r="E153" s="24" t="e">
        <f>D153*3</f>
        <v>#REF!</v>
      </c>
      <c r="F153" s="24" t="e">
        <f>D153*6</f>
        <v>#REF!</v>
      </c>
    </row>
    <row r="154" spans="1:6">
      <c r="A154" s="9" t="s">
        <v>610</v>
      </c>
      <c r="B154" s="19" t="e">
        <f>B152/B151</f>
        <v>#REF!</v>
      </c>
      <c r="C154" s="8"/>
      <c r="D154" s="10"/>
      <c r="E154" s="10"/>
      <c r="F154" s="11"/>
    </row>
    <row r="155" spans="1:6">
      <c r="A155" s="12" t="s">
        <v>611</v>
      </c>
      <c r="B155" s="20" t="e">
        <f>B149+B152</f>
        <v>#REF!</v>
      </c>
      <c r="C155" s="13"/>
      <c r="D155" s="14"/>
      <c r="E155" s="14"/>
      <c r="F155" s="15"/>
    </row>
    <row r="156" spans="1:6">
      <c r="A156" s="30"/>
      <c r="B156" s="30"/>
      <c r="C156" s="30"/>
      <c r="D156" s="30"/>
      <c r="E156" s="30"/>
      <c r="F156" s="30"/>
    </row>
    <row r="157" spans="1:6">
      <c r="A157" s="589" t="str">
        <f>A95</f>
        <v>Others</v>
      </c>
      <c r="B157" s="590"/>
      <c r="C157" s="590"/>
      <c r="D157" s="590"/>
      <c r="E157" s="590"/>
      <c r="F157" s="591"/>
    </row>
    <row r="158" spans="1:6">
      <c r="A158" s="5" t="s">
        <v>598</v>
      </c>
      <c r="B158" s="16">
        <f>Inv.!I105</f>
        <v>0</v>
      </c>
      <c r="C158" s="5"/>
      <c r="D158" s="25" t="s">
        <v>599</v>
      </c>
      <c r="E158" s="25" t="s">
        <v>600</v>
      </c>
      <c r="F158" s="25" t="s">
        <v>601</v>
      </c>
    </row>
    <row r="159" spans="1:6">
      <c r="A159" s="7" t="s">
        <v>602</v>
      </c>
      <c r="B159" s="17" t="e">
        <f>'Controll Panel'!#REF!</f>
        <v>#REF!</v>
      </c>
      <c r="C159" s="6" t="s">
        <v>603</v>
      </c>
      <c r="D159" s="26">
        <f>12/1</f>
        <v>12</v>
      </c>
      <c r="E159" s="27">
        <f>12/3</f>
        <v>4</v>
      </c>
      <c r="F159" s="27">
        <f>12/6</f>
        <v>2</v>
      </c>
    </row>
    <row r="160" spans="1:6">
      <c r="A160" s="7" t="s">
        <v>604</v>
      </c>
      <c r="B160" s="17" t="e">
        <f>'Controll Panel'!#REF!</f>
        <v>#REF!</v>
      </c>
      <c r="C160" s="9" t="s">
        <v>605</v>
      </c>
      <c r="D160" s="28" t="e">
        <f>B160*D159</f>
        <v>#REF!</v>
      </c>
      <c r="E160" s="29" t="e">
        <f>B160*E159</f>
        <v>#REF!</v>
      </c>
      <c r="F160" s="29" t="e">
        <f>B160*F159</f>
        <v>#REF!</v>
      </c>
    </row>
    <row r="161" spans="1:6">
      <c r="A161" s="9" t="s">
        <v>606</v>
      </c>
      <c r="B161" s="18" t="e">
        <f>IF(B162,IF(B162-B158,B162*B160-B158,""),"")</f>
        <v>#REF!</v>
      </c>
      <c r="C161" s="9" t="s">
        <v>607</v>
      </c>
      <c r="D161" s="21" t="e">
        <f>IF(AND(B158,B159,B160),PMT((B159/12)/100,D160,-B158),"")</f>
        <v>#REF!</v>
      </c>
      <c r="E161" s="22" t="e">
        <f>D161*3</f>
        <v>#REF!</v>
      </c>
      <c r="F161" s="22" t="e">
        <f>D161*6</f>
        <v>#REF!</v>
      </c>
    </row>
    <row r="162" spans="1:6">
      <c r="A162" s="9" t="s">
        <v>608</v>
      </c>
      <c r="B162" s="19" t="e">
        <f>IF(D161,D161*12,"")</f>
        <v>#REF!</v>
      </c>
      <c r="C162" s="12" t="s">
        <v>609</v>
      </c>
      <c r="D162" s="23" t="e">
        <f>B163/12</f>
        <v>#REF!</v>
      </c>
      <c r="E162" s="24" t="e">
        <f>D162*3</f>
        <v>#REF!</v>
      </c>
      <c r="F162" s="24" t="e">
        <f>D162*6</f>
        <v>#REF!</v>
      </c>
    </row>
    <row r="163" spans="1:6">
      <c r="A163" s="9" t="s">
        <v>610</v>
      </c>
      <c r="B163" s="19" t="e">
        <f>B161/B160</f>
        <v>#REF!</v>
      </c>
      <c r="C163" s="8"/>
      <c r="D163" s="10"/>
      <c r="E163" s="10"/>
      <c r="F163" s="11"/>
    </row>
    <row r="164" spans="1:6">
      <c r="A164" s="12" t="s">
        <v>611</v>
      </c>
      <c r="B164" s="20" t="e">
        <f>B158+B161</f>
        <v>#REF!</v>
      </c>
      <c r="C164" s="13"/>
      <c r="D164" s="14"/>
      <c r="E164" s="14"/>
      <c r="F164" s="15"/>
    </row>
    <row r="166" spans="1:6">
      <c r="A166" s="587" t="s">
        <v>612</v>
      </c>
      <c r="B166" s="588"/>
      <c r="D166" s="587" t="s">
        <v>613</v>
      </c>
      <c r="E166" s="588"/>
    </row>
    <row r="167" spans="1:6">
      <c r="A167" s="35" t="str">
        <f>A130</f>
        <v>Venture loans</v>
      </c>
      <c r="B167" s="36" t="e">
        <f>B134</f>
        <v>#VALUE!</v>
      </c>
      <c r="C167" s="44" t="b">
        <f>ISNUMBER(B167)</f>
        <v>0</v>
      </c>
      <c r="D167" s="35" t="str">
        <f>A167</f>
        <v>Venture loans</v>
      </c>
      <c r="E167" s="36" t="e">
        <f>B135-B136</f>
        <v>#VALUE!</v>
      </c>
      <c r="F167" s="44" t="b">
        <f>ISNUMBER(E167)</f>
        <v>0</v>
      </c>
    </row>
    <row r="168" spans="1:6">
      <c r="A168" s="37" t="str">
        <f>A139</f>
        <v>Leasing</v>
      </c>
      <c r="B168" s="38" t="e">
        <f>B143</f>
        <v>#REF!</v>
      </c>
      <c r="C168" s="44" t="b">
        <f>ISNUMBER(B168)</f>
        <v>0</v>
      </c>
      <c r="D168" s="37" t="str">
        <f>A168</f>
        <v>Leasing</v>
      </c>
      <c r="E168" s="38" t="e">
        <f>B144-B145</f>
        <v>#REF!</v>
      </c>
      <c r="F168" s="44" t="b">
        <f>ISNUMBER(E168)</f>
        <v>0</v>
      </c>
    </row>
    <row r="169" spans="1:6">
      <c r="A169" s="37" t="str">
        <f>A148</f>
        <v>Cash flow</v>
      </c>
      <c r="B169" s="39" t="e">
        <f>B152</f>
        <v>#REF!</v>
      </c>
      <c r="C169" s="44" t="b">
        <f>ISNUMBER(B169)</f>
        <v>0</v>
      </c>
      <c r="D169" s="37" t="str">
        <f>A169</f>
        <v>Cash flow</v>
      </c>
      <c r="E169" s="39" t="e">
        <f>B153-B154</f>
        <v>#REF!</v>
      </c>
      <c r="F169" s="44" t="b">
        <f>ISNUMBER(E169)</f>
        <v>0</v>
      </c>
    </row>
    <row r="170" spans="1:6">
      <c r="A170" s="40" t="str">
        <f>A157</f>
        <v>Others</v>
      </c>
      <c r="B170" s="41" t="e">
        <f>B161</f>
        <v>#REF!</v>
      </c>
      <c r="C170" s="44" t="b">
        <f>ISNUMBER(B170)</f>
        <v>0</v>
      </c>
      <c r="D170" s="40" t="str">
        <f>A170</f>
        <v>Others</v>
      </c>
      <c r="E170" s="41" t="e">
        <f>B162-B163</f>
        <v>#REF!</v>
      </c>
      <c r="F170" s="44" t="b">
        <f>ISNUMBER(E170)</f>
        <v>0</v>
      </c>
    </row>
    <row r="172" spans="1:6">
      <c r="A172" s="31" t="s">
        <v>614</v>
      </c>
      <c r="B172" s="34">
        <f>SUMIFS(B167:B170,C167:C170,TRUE)</f>
        <v>0</v>
      </c>
      <c r="D172" s="31" t="s">
        <v>615</v>
      </c>
      <c r="E172" s="34">
        <f>SUMIFS(E167:E170,F167:F170,TRUE)</f>
        <v>0</v>
      </c>
    </row>
    <row r="187" spans="1:6">
      <c r="A187" s="556" t="s">
        <v>597</v>
      </c>
      <c r="B187" s="556"/>
      <c r="C187" s="556"/>
      <c r="D187" s="556"/>
      <c r="E187" s="556"/>
      <c r="F187" s="556"/>
    </row>
    <row r="188" spans="1:6">
      <c r="A188" s="556"/>
      <c r="B188" s="556"/>
      <c r="C188" s="556"/>
      <c r="D188" s="556"/>
      <c r="E188" s="556"/>
      <c r="F188" s="556"/>
    </row>
    <row r="190" spans="1:6">
      <c r="A190" s="592">
        <f>A128+1</f>
        <v>2028</v>
      </c>
      <c r="B190" s="593"/>
      <c r="C190" s="593"/>
      <c r="D190" s="593"/>
      <c r="E190" s="593"/>
      <c r="F190" s="594"/>
    </row>
    <row r="191" spans="1:6">
      <c r="A191" s="595"/>
      <c r="B191" s="596"/>
      <c r="C191" s="596"/>
      <c r="D191" s="596"/>
      <c r="E191" s="596"/>
      <c r="F191" s="597"/>
    </row>
    <row r="192" spans="1:6">
      <c r="A192" s="589" t="str">
        <f>A130</f>
        <v>Venture loans</v>
      </c>
      <c r="B192" s="590"/>
      <c r="C192" s="590"/>
      <c r="D192" s="590"/>
      <c r="E192" s="590"/>
      <c r="F192" s="591"/>
    </row>
    <row r="193" spans="1:6">
      <c r="A193" s="5" t="s">
        <v>598</v>
      </c>
      <c r="B193" s="16">
        <f>Inv.!K102</f>
        <v>0</v>
      </c>
      <c r="C193" s="5"/>
      <c r="D193" s="25" t="s">
        <v>599</v>
      </c>
      <c r="E193" s="25" t="s">
        <v>600</v>
      </c>
      <c r="F193" s="25" t="s">
        <v>601</v>
      </c>
    </row>
    <row r="194" spans="1:6">
      <c r="A194" s="7" t="s">
        <v>602</v>
      </c>
      <c r="B194" s="17" t="str">
        <f>'Controll Panel'!E30</f>
        <v>//</v>
      </c>
      <c r="C194" s="6" t="s">
        <v>603</v>
      </c>
      <c r="D194" s="26">
        <f>12/1</f>
        <v>12</v>
      </c>
      <c r="E194" s="27">
        <f>12/3</f>
        <v>4</v>
      </c>
      <c r="F194" s="27">
        <f>12/6</f>
        <v>2</v>
      </c>
    </row>
    <row r="195" spans="1:6">
      <c r="A195" s="7" t="s">
        <v>604</v>
      </c>
      <c r="B195" s="17" t="str">
        <f>'Controll Panel'!E31</f>
        <v>//</v>
      </c>
      <c r="C195" s="9" t="s">
        <v>605</v>
      </c>
      <c r="D195" s="28" t="e">
        <f>B195*D194</f>
        <v>#VALUE!</v>
      </c>
      <c r="E195" s="29" t="e">
        <f>B195*E194</f>
        <v>#VALUE!</v>
      </c>
      <c r="F195" s="29" t="e">
        <f>B195*F194</f>
        <v>#VALUE!</v>
      </c>
    </row>
    <row r="196" spans="1:6">
      <c r="A196" s="9" t="s">
        <v>606</v>
      </c>
      <c r="B196" s="18" t="e">
        <f>IF(B197,IF(B197-B193,B197*B195-B193,""),"")</f>
        <v>#VALUE!</v>
      </c>
      <c r="C196" s="9" t="s">
        <v>607</v>
      </c>
      <c r="D196" s="21" t="str">
        <f>IF(AND(B193,B194,B195),PMT((B194/12)/100,D195,-B193),"")</f>
        <v/>
      </c>
      <c r="E196" s="22" t="e">
        <f>D196*3</f>
        <v>#VALUE!</v>
      </c>
      <c r="F196" s="22" t="e">
        <f>D196*6</f>
        <v>#VALUE!</v>
      </c>
    </row>
    <row r="197" spans="1:6">
      <c r="A197" s="9" t="s">
        <v>608</v>
      </c>
      <c r="B197" s="19" t="e">
        <f>IF(D196,D196*12,"")</f>
        <v>#VALUE!</v>
      </c>
      <c r="C197" s="12" t="s">
        <v>609</v>
      </c>
      <c r="D197" s="23" t="e">
        <f>B198/12</f>
        <v>#VALUE!</v>
      </c>
      <c r="E197" s="24" t="e">
        <f>D197*3</f>
        <v>#VALUE!</v>
      </c>
      <c r="F197" s="24" t="e">
        <f>D197*6</f>
        <v>#VALUE!</v>
      </c>
    </row>
    <row r="198" spans="1:6">
      <c r="A198" s="9" t="s">
        <v>610</v>
      </c>
      <c r="B198" s="19" t="e">
        <f>B196/B195</f>
        <v>#VALUE!</v>
      </c>
      <c r="C198" s="8"/>
      <c r="D198" s="10"/>
      <c r="E198" s="10"/>
      <c r="F198" s="11"/>
    </row>
    <row r="199" spans="1:6">
      <c r="A199" s="12" t="s">
        <v>611</v>
      </c>
      <c r="B199" s="20" t="e">
        <f>B193+B196</f>
        <v>#VALUE!</v>
      </c>
      <c r="C199" s="13"/>
      <c r="D199" s="14"/>
      <c r="E199" s="14"/>
      <c r="F199" s="15"/>
    </row>
    <row r="200" spans="1:6">
      <c r="A200" s="30"/>
      <c r="B200" s="30"/>
      <c r="C200" s="30"/>
      <c r="D200" s="30"/>
      <c r="E200" s="30"/>
      <c r="F200" s="30"/>
    </row>
    <row r="201" spans="1:6">
      <c r="A201" s="589" t="str">
        <f>A139</f>
        <v>Leasing</v>
      </c>
      <c r="B201" s="590"/>
      <c r="C201" s="590"/>
      <c r="D201" s="590"/>
      <c r="E201" s="590"/>
      <c r="F201" s="591"/>
    </row>
    <row r="202" spans="1:6">
      <c r="A202" s="5" t="s">
        <v>598</v>
      </c>
      <c r="B202" s="16">
        <f>Inv.!K103</f>
        <v>0</v>
      </c>
      <c r="C202" s="5"/>
      <c r="D202" s="25" t="s">
        <v>599</v>
      </c>
      <c r="E202" s="25" t="s">
        <v>600</v>
      </c>
      <c r="F202" s="25" t="s">
        <v>601</v>
      </c>
    </row>
    <row r="203" spans="1:6">
      <c r="A203" s="7" t="s">
        <v>602</v>
      </c>
      <c r="B203" s="17" t="e">
        <f>'Controll Panel'!#REF!</f>
        <v>#REF!</v>
      </c>
      <c r="C203" s="6" t="s">
        <v>603</v>
      </c>
      <c r="D203" s="26">
        <f>12/1</f>
        <v>12</v>
      </c>
      <c r="E203" s="27">
        <f>12/3</f>
        <v>4</v>
      </c>
      <c r="F203" s="27">
        <f>12/6</f>
        <v>2</v>
      </c>
    </row>
    <row r="204" spans="1:6">
      <c r="A204" s="7" t="s">
        <v>604</v>
      </c>
      <c r="B204" s="17" t="e">
        <f>'Controll Panel'!#REF!</f>
        <v>#REF!</v>
      </c>
      <c r="C204" s="9" t="s">
        <v>605</v>
      </c>
      <c r="D204" s="28" t="e">
        <f>B204*D203</f>
        <v>#REF!</v>
      </c>
      <c r="E204" s="29" t="e">
        <f>B204*E203</f>
        <v>#REF!</v>
      </c>
      <c r="F204" s="29" t="e">
        <f>B204*F203</f>
        <v>#REF!</v>
      </c>
    </row>
    <row r="205" spans="1:6">
      <c r="A205" s="9" t="s">
        <v>606</v>
      </c>
      <c r="B205" s="18" t="e">
        <f>IF(B206,IF(B206-B202,B206*B204-B202,""),"")</f>
        <v>#REF!</v>
      </c>
      <c r="C205" s="9" t="s">
        <v>607</v>
      </c>
      <c r="D205" s="21" t="e">
        <f>IF(AND(B202,B203,B204),PMT((B203/12)/100,D204,-B202),"")</f>
        <v>#REF!</v>
      </c>
      <c r="E205" s="22" t="e">
        <f>D205*3</f>
        <v>#REF!</v>
      </c>
      <c r="F205" s="22" t="e">
        <f>D205*6</f>
        <v>#REF!</v>
      </c>
    </row>
    <row r="206" spans="1:6">
      <c r="A206" s="9" t="s">
        <v>608</v>
      </c>
      <c r="B206" s="19" t="e">
        <f>IF(D205,D205*12,"")</f>
        <v>#REF!</v>
      </c>
      <c r="C206" s="12" t="s">
        <v>609</v>
      </c>
      <c r="D206" s="23" t="e">
        <f>B207/12</f>
        <v>#REF!</v>
      </c>
      <c r="E206" s="24" t="e">
        <f>D206*3</f>
        <v>#REF!</v>
      </c>
      <c r="F206" s="24" t="e">
        <f>D206*6</f>
        <v>#REF!</v>
      </c>
    </row>
    <row r="207" spans="1:6">
      <c r="A207" s="9" t="s">
        <v>610</v>
      </c>
      <c r="B207" s="19" t="e">
        <f>B205/B204</f>
        <v>#REF!</v>
      </c>
      <c r="C207" s="8"/>
      <c r="D207" s="10"/>
      <c r="E207" s="10"/>
      <c r="F207" s="11"/>
    </row>
    <row r="208" spans="1:6">
      <c r="A208" s="12" t="s">
        <v>611</v>
      </c>
      <c r="B208" s="20" t="e">
        <f>B202+B205</f>
        <v>#REF!</v>
      </c>
      <c r="C208" s="13"/>
      <c r="D208" s="14"/>
      <c r="E208" s="14"/>
      <c r="F208" s="15"/>
    </row>
    <row r="209" spans="1:6">
      <c r="A209" s="30"/>
      <c r="B209" s="30"/>
      <c r="C209" s="30"/>
      <c r="D209" s="30"/>
      <c r="E209" s="30"/>
      <c r="F209" s="30"/>
    </row>
    <row r="210" spans="1:6">
      <c r="A210" s="589" t="str">
        <f>A148</f>
        <v>Cash flow</v>
      </c>
      <c r="B210" s="590"/>
      <c r="C210" s="590"/>
      <c r="D210" s="590"/>
      <c r="E210" s="590"/>
      <c r="F210" s="591"/>
    </row>
    <row r="211" spans="1:6">
      <c r="A211" s="5" t="s">
        <v>598</v>
      </c>
      <c r="B211" s="16">
        <f>Inv.!K104</f>
        <v>0</v>
      </c>
      <c r="C211" s="5"/>
      <c r="D211" s="25" t="s">
        <v>599</v>
      </c>
      <c r="E211" s="25" t="s">
        <v>600</v>
      </c>
      <c r="F211" s="25" t="s">
        <v>601</v>
      </c>
    </row>
    <row r="212" spans="1:6">
      <c r="A212" s="7" t="s">
        <v>602</v>
      </c>
      <c r="B212" s="17" t="e">
        <f>'Controll Panel'!#REF!</f>
        <v>#REF!</v>
      </c>
      <c r="C212" s="6" t="s">
        <v>603</v>
      </c>
      <c r="D212" s="26">
        <f>12/1</f>
        <v>12</v>
      </c>
      <c r="E212" s="27">
        <f>12/3</f>
        <v>4</v>
      </c>
      <c r="F212" s="27">
        <f>12/6</f>
        <v>2</v>
      </c>
    </row>
    <row r="213" spans="1:6">
      <c r="A213" s="7" t="s">
        <v>604</v>
      </c>
      <c r="B213" s="17" t="e">
        <f>'Controll Panel'!#REF!</f>
        <v>#REF!</v>
      </c>
      <c r="C213" s="9" t="s">
        <v>605</v>
      </c>
      <c r="D213" s="28" t="e">
        <f>B213*D212</f>
        <v>#REF!</v>
      </c>
      <c r="E213" s="29" t="e">
        <f>B213*E212</f>
        <v>#REF!</v>
      </c>
      <c r="F213" s="29" t="e">
        <f>B213*F212</f>
        <v>#REF!</v>
      </c>
    </row>
    <row r="214" spans="1:6">
      <c r="A214" s="9" t="s">
        <v>606</v>
      </c>
      <c r="B214" s="18" t="e">
        <f>IF(B215,IF(B215-B211,B215*B213-B211,""),"")</f>
        <v>#REF!</v>
      </c>
      <c r="C214" s="9" t="s">
        <v>607</v>
      </c>
      <c r="D214" s="21" t="e">
        <f>IF(AND(B211,B212,B213),PMT((B212/12)/100,D213,-B211),"")</f>
        <v>#REF!</v>
      </c>
      <c r="E214" s="22" t="e">
        <f>D214*3</f>
        <v>#REF!</v>
      </c>
      <c r="F214" s="22" t="e">
        <f>D214*6</f>
        <v>#REF!</v>
      </c>
    </row>
    <row r="215" spans="1:6">
      <c r="A215" s="9" t="s">
        <v>608</v>
      </c>
      <c r="B215" s="19" t="e">
        <f>IF(D214,D214*12,"")</f>
        <v>#REF!</v>
      </c>
      <c r="C215" s="12" t="s">
        <v>609</v>
      </c>
      <c r="D215" s="23" t="e">
        <f>B216/12</f>
        <v>#REF!</v>
      </c>
      <c r="E215" s="24" t="e">
        <f>D215*3</f>
        <v>#REF!</v>
      </c>
      <c r="F215" s="24" t="e">
        <f>D215*6</f>
        <v>#REF!</v>
      </c>
    </row>
    <row r="216" spans="1:6">
      <c r="A216" s="9" t="s">
        <v>610</v>
      </c>
      <c r="B216" s="19" t="e">
        <f>B214/B213</f>
        <v>#REF!</v>
      </c>
      <c r="C216" s="8"/>
      <c r="D216" s="10"/>
      <c r="E216" s="10"/>
      <c r="F216" s="11"/>
    </row>
    <row r="217" spans="1:6">
      <c r="A217" s="12" t="s">
        <v>611</v>
      </c>
      <c r="B217" s="20" t="e">
        <f>B211+B214</f>
        <v>#REF!</v>
      </c>
      <c r="C217" s="13"/>
      <c r="D217" s="14"/>
      <c r="E217" s="14"/>
      <c r="F217" s="15"/>
    </row>
    <row r="218" spans="1:6">
      <c r="A218" s="30"/>
      <c r="B218" s="30"/>
      <c r="C218" s="30"/>
      <c r="D218" s="30"/>
      <c r="E218" s="30"/>
      <c r="F218" s="30"/>
    </row>
    <row r="219" spans="1:6">
      <c r="A219" s="589" t="str">
        <f>A157</f>
        <v>Others</v>
      </c>
      <c r="B219" s="590"/>
      <c r="C219" s="590"/>
      <c r="D219" s="590"/>
      <c r="E219" s="590"/>
      <c r="F219" s="591"/>
    </row>
    <row r="220" spans="1:6">
      <c r="A220" s="5" t="s">
        <v>598</v>
      </c>
      <c r="B220" s="16">
        <f>Inv.!K105</f>
        <v>0</v>
      </c>
      <c r="C220" s="5"/>
      <c r="D220" s="25" t="s">
        <v>599</v>
      </c>
      <c r="E220" s="25" t="s">
        <v>600</v>
      </c>
      <c r="F220" s="25" t="s">
        <v>601</v>
      </c>
    </row>
    <row r="221" spans="1:6">
      <c r="A221" s="7" t="s">
        <v>602</v>
      </c>
      <c r="B221" s="17" t="e">
        <f>'Controll Panel'!#REF!</f>
        <v>#REF!</v>
      </c>
      <c r="C221" s="6" t="s">
        <v>603</v>
      </c>
      <c r="D221" s="26">
        <f>12/1</f>
        <v>12</v>
      </c>
      <c r="E221" s="27">
        <f>12/3</f>
        <v>4</v>
      </c>
      <c r="F221" s="27">
        <f>12/6</f>
        <v>2</v>
      </c>
    </row>
    <row r="222" spans="1:6">
      <c r="A222" s="7" t="s">
        <v>604</v>
      </c>
      <c r="B222" s="17" t="e">
        <f>'Controll Panel'!#REF!</f>
        <v>#REF!</v>
      </c>
      <c r="C222" s="9" t="s">
        <v>605</v>
      </c>
      <c r="D222" s="28" t="e">
        <f>B222*D221</f>
        <v>#REF!</v>
      </c>
      <c r="E222" s="29" t="e">
        <f>B222*E221</f>
        <v>#REF!</v>
      </c>
      <c r="F222" s="29" t="e">
        <f>B222*F221</f>
        <v>#REF!</v>
      </c>
    </row>
    <row r="223" spans="1:6">
      <c r="A223" s="9" t="s">
        <v>606</v>
      </c>
      <c r="B223" s="18" t="e">
        <f>IF(B224,IF(B224-B220,B224*B222-B220,""),"")</f>
        <v>#REF!</v>
      </c>
      <c r="C223" s="9" t="s">
        <v>607</v>
      </c>
      <c r="D223" s="21" t="e">
        <f>IF(AND(B220,B221,B222),PMT((B221/12)/100,D222,-B220),"")</f>
        <v>#REF!</v>
      </c>
      <c r="E223" s="22" t="e">
        <f>D223*3</f>
        <v>#REF!</v>
      </c>
      <c r="F223" s="22" t="e">
        <f>D223*6</f>
        <v>#REF!</v>
      </c>
    </row>
    <row r="224" spans="1:6">
      <c r="A224" s="9" t="s">
        <v>608</v>
      </c>
      <c r="B224" s="19" t="e">
        <f>IF(D223,D223*12,"")</f>
        <v>#REF!</v>
      </c>
      <c r="C224" s="12" t="s">
        <v>609</v>
      </c>
      <c r="D224" s="23" t="e">
        <f>B225/12</f>
        <v>#REF!</v>
      </c>
      <c r="E224" s="24" t="e">
        <f>D224*3</f>
        <v>#REF!</v>
      </c>
      <c r="F224" s="24" t="e">
        <f>D224*6</f>
        <v>#REF!</v>
      </c>
    </row>
    <row r="225" spans="1:6">
      <c r="A225" s="9" t="s">
        <v>610</v>
      </c>
      <c r="B225" s="19" t="e">
        <f>B223/B222</f>
        <v>#REF!</v>
      </c>
      <c r="C225" s="8"/>
      <c r="D225" s="10"/>
      <c r="E225" s="10"/>
      <c r="F225" s="11"/>
    </row>
    <row r="226" spans="1:6">
      <c r="A226" s="12" t="s">
        <v>611</v>
      </c>
      <c r="B226" s="20" t="e">
        <f>B220+B223</f>
        <v>#REF!</v>
      </c>
      <c r="C226" s="13"/>
      <c r="D226" s="14"/>
      <c r="E226" s="14"/>
      <c r="F226" s="15"/>
    </row>
    <row r="228" spans="1:6">
      <c r="A228" s="587" t="s">
        <v>612</v>
      </c>
      <c r="B228" s="588"/>
      <c r="D228" s="587" t="s">
        <v>613</v>
      </c>
      <c r="E228" s="588"/>
    </row>
    <row r="229" spans="1:6">
      <c r="A229" s="35" t="str">
        <f>A192</f>
        <v>Venture loans</v>
      </c>
      <c r="B229" s="36" t="e">
        <f>B196</f>
        <v>#VALUE!</v>
      </c>
      <c r="C229" s="44" t="b">
        <f>ISNUMBER(B229)</f>
        <v>0</v>
      </c>
      <c r="D229" s="35" t="str">
        <f>A229</f>
        <v>Venture loans</v>
      </c>
      <c r="E229" s="36" t="e">
        <f>B197-B198</f>
        <v>#VALUE!</v>
      </c>
      <c r="F229" s="44" t="b">
        <f>ISNUMBER(E229)</f>
        <v>0</v>
      </c>
    </row>
    <row r="230" spans="1:6">
      <c r="A230" s="37" t="str">
        <f>A201</f>
        <v>Leasing</v>
      </c>
      <c r="B230" s="38" t="e">
        <f>B205</f>
        <v>#REF!</v>
      </c>
      <c r="C230" s="44" t="b">
        <f>ISNUMBER(B230)</f>
        <v>0</v>
      </c>
      <c r="D230" s="37" t="str">
        <f>A230</f>
        <v>Leasing</v>
      </c>
      <c r="E230" s="38" t="e">
        <f>B206-B207</f>
        <v>#REF!</v>
      </c>
      <c r="F230" s="44" t="b">
        <f>ISNUMBER(E230)</f>
        <v>0</v>
      </c>
    </row>
    <row r="231" spans="1:6">
      <c r="A231" s="37" t="str">
        <f>A210</f>
        <v>Cash flow</v>
      </c>
      <c r="B231" s="39" t="e">
        <f>B214</f>
        <v>#REF!</v>
      </c>
      <c r="C231" s="44" t="b">
        <f>ISNUMBER(B231)</f>
        <v>0</v>
      </c>
      <c r="D231" s="37" t="str">
        <f>A231</f>
        <v>Cash flow</v>
      </c>
      <c r="E231" s="39" t="e">
        <f>B215-B216</f>
        <v>#REF!</v>
      </c>
      <c r="F231" s="44" t="b">
        <f>ISNUMBER(E231)</f>
        <v>0</v>
      </c>
    </row>
    <row r="232" spans="1:6">
      <c r="A232" s="40" t="str">
        <f>A219</f>
        <v>Others</v>
      </c>
      <c r="B232" s="41" t="e">
        <f>B223</f>
        <v>#REF!</v>
      </c>
      <c r="C232" s="44" t="b">
        <f>ISNUMBER(B232)</f>
        <v>0</v>
      </c>
      <c r="D232" s="40" t="str">
        <f>A232</f>
        <v>Others</v>
      </c>
      <c r="E232" s="41" t="e">
        <f>B224-B225</f>
        <v>#REF!</v>
      </c>
      <c r="F232" s="44" t="b">
        <f>ISNUMBER(E232)</f>
        <v>0</v>
      </c>
    </row>
    <row r="234" spans="1:6">
      <c r="A234" s="31" t="s">
        <v>614</v>
      </c>
      <c r="B234" s="34">
        <f>SUMIFS(B229:B232,C229:C232,TRUE)</f>
        <v>0</v>
      </c>
      <c r="D234" s="31" t="s">
        <v>615</v>
      </c>
      <c r="E234" s="34">
        <f>SUMIFS(E229:E232,F229:F232,TRUE)</f>
        <v>0</v>
      </c>
    </row>
    <row r="249" spans="1:6">
      <c r="A249" s="556" t="s">
        <v>597</v>
      </c>
      <c r="B249" s="556"/>
      <c r="C249" s="556"/>
      <c r="D249" s="556"/>
      <c r="E249" s="556"/>
      <c r="F249" s="556"/>
    </row>
    <row r="250" spans="1:6">
      <c r="A250" s="556"/>
      <c r="B250" s="556"/>
      <c r="C250" s="556"/>
      <c r="D250" s="556"/>
      <c r="E250" s="556"/>
      <c r="F250" s="556"/>
    </row>
    <row r="252" spans="1:6">
      <c r="A252" s="592">
        <f>A190+1</f>
        <v>2029</v>
      </c>
      <c r="B252" s="593"/>
      <c r="C252" s="593"/>
      <c r="D252" s="593"/>
      <c r="E252" s="593"/>
      <c r="F252" s="594"/>
    </row>
    <row r="253" spans="1:6">
      <c r="A253" s="595"/>
      <c r="B253" s="596"/>
      <c r="C253" s="596"/>
      <c r="D253" s="596"/>
      <c r="E253" s="596"/>
      <c r="F253" s="597"/>
    </row>
    <row r="254" spans="1:6">
      <c r="A254" s="589" t="str">
        <f>A192</f>
        <v>Venture loans</v>
      </c>
      <c r="B254" s="590"/>
      <c r="C254" s="590"/>
      <c r="D254" s="590"/>
      <c r="E254" s="590"/>
      <c r="F254" s="591"/>
    </row>
    <row r="255" spans="1:6">
      <c r="A255" s="5" t="s">
        <v>598</v>
      </c>
      <c r="B255" s="16">
        <f>Inv.!M102</f>
        <v>0</v>
      </c>
      <c r="C255" s="5"/>
      <c r="D255" s="25" t="s">
        <v>599</v>
      </c>
      <c r="E255" s="25" t="s">
        <v>600</v>
      </c>
      <c r="F255" s="25" t="s">
        <v>601</v>
      </c>
    </row>
    <row r="256" spans="1:6">
      <c r="A256" s="7" t="s">
        <v>602</v>
      </c>
      <c r="B256" s="17" t="str">
        <f>'Controll Panel'!F30</f>
        <v>//</v>
      </c>
      <c r="C256" s="6" t="s">
        <v>603</v>
      </c>
      <c r="D256" s="26">
        <f>12/1</f>
        <v>12</v>
      </c>
      <c r="E256" s="27">
        <f>12/3</f>
        <v>4</v>
      </c>
      <c r="F256" s="27">
        <f>12/6</f>
        <v>2</v>
      </c>
    </row>
    <row r="257" spans="1:6">
      <c r="A257" s="7" t="s">
        <v>604</v>
      </c>
      <c r="B257" s="17" t="str">
        <f>'Controll Panel'!F31</f>
        <v>//</v>
      </c>
      <c r="C257" s="9" t="s">
        <v>605</v>
      </c>
      <c r="D257" s="28" t="e">
        <f>B257*D256</f>
        <v>#VALUE!</v>
      </c>
      <c r="E257" s="29" t="e">
        <f>B257*E256</f>
        <v>#VALUE!</v>
      </c>
      <c r="F257" s="29" t="e">
        <f>B257*F256</f>
        <v>#VALUE!</v>
      </c>
    </row>
    <row r="258" spans="1:6">
      <c r="A258" s="9" t="s">
        <v>606</v>
      </c>
      <c r="B258" s="18" t="e">
        <f>IF(B259,IF(B259-B255,B259*B257-B255,""),"")</f>
        <v>#VALUE!</v>
      </c>
      <c r="C258" s="9" t="s">
        <v>607</v>
      </c>
      <c r="D258" s="21" t="str">
        <f>IF(AND(B255,B256,B257),PMT((B256/12)/100,D257,-B255),"")</f>
        <v/>
      </c>
      <c r="E258" s="22" t="e">
        <f>D258*3</f>
        <v>#VALUE!</v>
      </c>
      <c r="F258" s="22" t="e">
        <f>D258*6</f>
        <v>#VALUE!</v>
      </c>
    </row>
    <row r="259" spans="1:6">
      <c r="A259" s="9" t="s">
        <v>608</v>
      </c>
      <c r="B259" s="19" t="e">
        <f>IF(D258,D258*12,"")</f>
        <v>#VALUE!</v>
      </c>
      <c r="C259" s="12" t="s">
        <v>609</v>
      </c>
      <c r="D259" s="23" t="e">
        <f>B260/12</f>
        <v>#VALUE!</v>
      </c>
      <c r="E259" s="24" t="e">
        <f>D259*3</f>
        <v>#VALUE!</v>
      </c>
      <c r="F259" s="24" t="e">
        <f>D259*6</f>
        <v>#VALUE!</v>
      </c>
    </row>
    <row r="260" spans="1:6">
      <c r="A260" s="9" t="s">
        <v>610</v>
      </c>
      <c r="B260" s="19" t="e">
        <f>B258/B257</f>
        <v>#VALUE!</v>
      </c>
      <c r="C260" s="8"/>
      <c r="D260" s="10"/>
      <c r="E260" s="10"/>
      <c r="F260" s="11"/>
    </row>
    <row r="261" spans="1:6">
      <c r="A261" s="12" t="s">
        <v>611</v>
      </c>
      <c r="B261" s="20" t="e">
        <f>B255+B258</f>
        <v>#VALUE!</v>
      </c>
      <c r="C261" s="13"/>
      <c r="D261" s="14"/>
      <c r="E261" s="14"/>
      <c r="F261" s="15"/>
    </row>
    <row r="262" spans="1:6">
      <c r="A262" s="30"/>
      <c r="B262" s="30"/>
      <c r="C262" s="30"/>
      <c r="D262" s="30"/>
      <c r="E262" s="30"/>
      <c r="F262" s="30"/>
    </row>
    <row r="263" spans="1:6">
      <c r="A263" s="589" t="str">
        <f>A201</f>
        <v>Leasing</v>
      </c>
      <c r="B263" s="590"/>
      <c r="C263" s="590"/>
      <c r="D263" s="590"/>
      <c r="E263" s="590"/>
      <c r="F263" s="591"/>
    </row>
    <row r="264" spans="1:6">
      <c r="A264" s="5" t="s">
        <v>598</v>
      </c>
      <c r="B264" s="16">
        <f>Inv.!M103</f>
        <v>0</v>
      </c>
      <c r="C264" s="5"/>
      <c r="D264" s="25" t="s">
        <v>599</v>
      </c>
      <c r="E264" s="25" t="s">
        <v>600</v>
      </c>
      <c r="F264" s="25" t="s">
        <v>601</v>
      </c>
    </row>
    <row r="265" spans="1:6">
      <c r="A265" s="7" t="s">
        <v>602</v>
      </c>
      <c r="B265" s="17" t="e">
        <f>'Controll Panel'!#REF!</f>
        <v>#REF!</v>
      </c>
      <c r="C265" s="6" t="s">
        <v>603</v>
      </c>
      <c r="D265" s="26">
        <f>12/1</f>
        <v>12</v>
      </c>
      <c r="E265" s="27">
        <f>12/3</f>
        <v>4</v>
      </c>
      <c r="F265" s="27">
        <f>12/6</f>
        <v>2</v>
      </c>
    </row>
    <row r="266" spans="1:6">
      <c r="A266" s="7" t="s">
        <v>604</v>
      </c>
      <c r="B266" s="17" t="e">
        <f>'Controll Panel'!#REF!</f>
        <v>#REF!</v>
      </c>
      <c r="C266" s="9" t="s">
        <v>605</v>
      </c>
      <c r="D266" s="28" t="e">
        <f>B266*D265</f>
        <v>#REF!</v>
      </c>
      <c r="E266" s="29" t="e">
        <f>B266*E265</f>
        <v>#REF!</v>
      </c>
      <c r="F266" s="29" t="e">
        <f>B266*F265</f>
        <v>#REF!</v>
      </c>
    </row>
    <row r="267" spans="1:6">
      <c r="A267" s="9" t="s">
        <v>606</v>
      </c>
      <c r="B267" s="18" t="e">
        <f>IF(B268,IF(B268-B264,B268*B266-B264,""),"")</f>
        <v>#REF!</v>
      </c>
      <c r="C267" s="9" t="s">
        <v>607</v>
      </c>
      <c r="D267" s="21" t="e">
        <f>IF(AND(B264,B265,B266),PMT((B265/12)/100,D266,-B264),"")</f>
        <v>#REF!</v>
      </c>
      <c r="E267" s="22" t="e">
        <f>D267*3</f>
        <v>#REF!</v>
      </c>
      <c r="F267" s="22" t="e">
        <f>D267*6</f>
        <v>#REF!</v>
      </c>
    </row>
    <row r="268" spans="1:6">
      <c r="A268" s="9" t="s">
        <v>608</v>
      </c>
      <c r="B268" s="19" t="e">
        <f>IF(D267,D267*12,"")</f>
        <v>#REF!</v>
      </c>
      <c r="C268" s="12" t="s">
        <v>609</v>
      </c>
      <c r="D268" s="23" t="e">
        <f>B269/12</f>
        <v>#REF!</v>
      </c>
      <c r="E268" s="24" t="e">
        <f>D268*3</f>
        <v>#REF!</v>
      </c>
      <c r="F268" s="24" t="e">
        <f>D268*6</f>
        <v>#REF!</v>
      </c>
    </row>
    <row r="269" spans="1:6">
      <c r="A269" s="9" t="s">
        <v>610</v>
      </c>
      <c r="B269" s="19" t="e">
        <f>B267/B266</f>
        <v>#REF!</v>
      </c>
      <c r="C269" s="8"/>
      <c r="D269" s="10"/>
      <c r="E269" s="10"/>
      <c r="F269" s="11"/>
    </row>
    <row r="270" spans="1:6">
      <c r="A270" s="12" t="s">
        <v>611</v>
      </c>
      <c r="B270" s="20" t="e">
        <f>B264+B267</f>
        <v>#REF!</v>
      </c>
      <c r="C270" s="13"/>
      <c r="D270" s="14"/>
      <c r="E270" s="14"/>
      <c r="F270" s="15"/>
    </row>
    <row r="271" spans="1:6">
      <c r="A271" s="30"/>
      <c r="B271" s="30"/>
      <c r="C271" s="30"/>
      <c r="D271" s="30"/>
      <c r="E271" s="30"/>
      <c r="F271" s="30"/>
    </row>
    <row r="272" spans="1:6">
      <c r="A272" s="589" t="str">
        <f>A210</f>
        <v>Cash flow</v>
      </c>
      <c r="B272" s="590"/>
      <c r="C272" s="590"/>
      <c r="D272" s="590"/>
      <c r="E272" s="590"/>
      <c r="F272" s="591"/>
    </row>
    <row r="273" spans="1:6">
      <c r="A273" s="5" t="s">
        <v>598</v>
      </c>
      <c r="B273" s="16">
        <f>Inv.!M104</f>
        <v>0</v>
      </c>
      <c r="C273" s="5"/>
      <c r="D273" s="25" t="s">
        <v>599</v>
      </c>
      <c r="E273" s="25" t="s">
        <v>600</v>
      </c>
      <c r="F273" s="25" t="s">
        <v>601</v>
      </c>
    </row>
    <row r="274" spans="1:6">
      <c r="A274" s="7" t="s">
        <v>602</v>
      </c>
      <c r="B274" s="17" t="e">
        <f>'Controll Panel'!#REF!</f>
        <v>#REF!</v>
      </c>
      <c r="C274" s="6" t="s">
        <v>603</v>
      </c>
      <c r="D274" s="26">
        <f>12/1</f>
        <v>12</v>
      </c>
      <c r="E274" s="27">
        <f>12/3</f>
        <v>4</v>
      </c>
      <c r="F274" s="27">
        <f>12/6</f>
        <v>2</v>
      </c>
    </row>
    <row r="275" spans="1:6">
      <c r="A275" s="7" t="s">
        <v>604</v>
      </c>
      <c r="B275" s="17" t="e">
        <f>'Controll Panel'!#REF!</f>
        <v>#REF!</v>
      </c>
      <c r="C275" s="9" t="s">
        <v>605</v>
      </c>
      <c r="D275" s="28" t="e">
        <f>B275*D274</f>
        <v>#REF!</v>
      </c>
      <c r="E275" s="29" t="e">
        <f>B275*E274</f>
        <v>#REF!</v>
      </c>
      <c r="F275" s="29" t="e">
        <f>B275*F274</f>
        <v>#REF!</v>
      </c>
    </row>
    <row r="276" spans="1:6">
      <c r="A276" s="9" t="s">
        <v>606</v>
      </c>
      <c r="B276" s="18" t="e">
        <f>IF(B277,IF(B277-B273,B277*B275-B273,""),"")</f>
        <v>#REF!</v>
      </c>
      <c r="C276" s="9" t="s">
        <v>607</v>
      </c>
      <c r="D276" s="21" t="e">
        <f>IF(AND(B273,B274,B275),PMT((B274/12)/100,D275,-B273),"")</f>
        <v>#REF!</v>
      </c>
      <c r="E276" s="22" t="e">
        <f>D276*3</f>
        <v>#REF!</v>
      </c>
      <c r="F276" s="22" t="e">
        <f>D276*6</f>
        <v>#REF!</v>
      </c>
    </row>
    <row r="277" spans="1:6">
      <c r="A277" s="9" t="s">
        <v>608</v>
      </c>
      <c r="B277" s="19" t="e">
        <f>IF(D276,D276*12,"")</f>
        <v>#REF!</v>
      </c>
      <c r="C277" s="12" t="s">
        <v>609</v>
      </c>
      <c r="D277" s="23" t="e">
        <f>B278/12</f>
        <v>#REF!</v>
      </c>
      <c r="E277" s="24" t="e">
        <f>D277*3</f>
        <v>#REF!</v>
      </c>
      <c r="F277" s="24" t="e">
        <f>D277*6</f>
        <v>#REF!</v>
      </c>
    </row>
    <row r="278" spans="1:6">
      <c r="A278" s="9" t="s">
        <v>610</v>
      </c>
      <c r="B278" s="19" t="e">
        <f>B276/B275</f>
        <v>#REF!</v>
      </c>
      <c r="C278" s="8"/>
      <c r="D278" s="10"/>
      <c r="E278" s="10"/>
      <c r="F278" s="11"/>
    </row>
    <row r="279" spans="1:6">
      <c r="A279" s="12" t="s">
        <v>611</v>
      </c>
      <c r="B279" s="20" t="e">
        <f>B273+B276</f>
        <v>#REF!</v>
      </c>
      <c r="C279" s="13"/>
      <c r="D279" s="14"/>
      <c r="E279" s="14"/>
      <c r="F279" s="15"/>
    </row>
    <row r="280" spans="1:6">
      <c r="A280" s="30"/>
      <c r="B280" s="30"/>
      <c r="C280" s="30"/>
      <c r="D280" s="30"/>
      <c r="E280" s="30"/>
      <c r="F280" s="30"/>
    </row>
    <row r="281" spans="1:6">
      <c r="A281" s="589" t="str">
        <f>A219</f>
        <v>Others</v>
      </c>
      <c r="B281" s="590"/>
      <c r="C281" s="590"/>
      <c r="D281" s="590"/>
      <c r="E281" s="590"/>
      <c r="F281" s="591"/>
    </row>
    <row r="282" spans="1:6">
      <c r="A282" s="5" t="s">
        <v>598</v>
      </c>
      <c r="B282" s="16">
        <f>Inv.!M105</f>
        <v>0</v>
      </c>
      <c r="C282" s="5"/>
      <c r="D282" s="25" t="s">
        <v>599</v>
      </c>
      <c r="E282" s="25" t="s">
        <v>600</v>
      </c>
      <c r="F282" s="25" t="s">
        <v>601</v>
      </c>
    </row>
    <row r="283" spans="1:6">
      <c r="A283" s="7" t="s">
        <v>602</v>
      </c>
      <c r="B283" s="17" t="e">
        <f>'Controll Panel'!#REF!</f>
        <v>#REF!</v>
      </c>
      <c r="C283" s="6" t="s">
        <v>603</v>
      </c>
      <c r="D283" s="26">
        <f>12/1</f>
        <v>12</v>
      </c>
      <c r="E283" s="27">
        <f>12/3</f>
        <v>4</v>
      </c>
      <c r="F283" s="27">
        <f>12/6</f>
        <v>2</v>
      </c>
    </row>
    <row r="284" spans="1:6">
      <c r="A284" s="7" t="s">
        <v>604</v>
      </c>
      <c r="B284" s="17" t="e">
        <f>'Controll Panel'!#REF!</f>
        <v>#REF!</v>
      </c>
      <c r="C284" s="9" t="s">
        <v>605</v>
      </c>
      <c r="D284" s="28" t="e">
        <f>B284*D283</f>
        <v>#REF!</v>
      </c>
      <c r="E284" s="29" t="e">
        <f>B284*E283</f>
        <v>#REF!</v>
      </c>
      <c r="F284" s="29" t="e">
        <f>B284*F283</f>
        <v>#REF!</v>
      </c>
    </row>
    <row r="285" spans="1:6">
      <c r="A285" s="9" t="s">
        <v>606</v>
      </c>
      <c r="B285" s="18" t="e">
        <f>IF(B286,IF(B286-B282,B286*B284-B282,""),"")</f>
        <v>#REF!</v>
      </c>
      <c r="C285" s="9" t="s">
        <v>607</v>
      </c>
      <c r="D285" s="21" t="e">
        <f>IF(AND(B282,B283,B284),PMT((B283/12)/100,D284,-B282),"")</f>
        <v>#REF!</v>
      </c>
      <c r="E285" s="22" t="e">
        <f>D285*3</f>
        <v>#REF!</v>
      </c>
      <c r="F285" s="22" t="e">
        <f>D285*6</f>
        <v>#REF!</v>
      </c>
    </row>
    <row r="286" spans="1:6">
      <c r="A286" s="9" t="s">
        <v>608</v>
      </c>
      <c r="B286" s="19" t="e">
        <f>IF(D285,D285*12,"")</f>
        <v>#REF!</v>
      </c>
      <c r="C286" s="12" t="s">
        <v>609</v>
      </c>
      <c r="D286" s="23" t="e">
        <f>B287/12</f>
        <v>#REF!</v>
      </c>
      <c r="E286" s="24" t="e">
        <f>D286*3</f>
        <v>#REF!</v>
      </c>
      <c r="F286" s="24" t="e">
        <f>D286*6</f>
        <v>#REF!</v>
      </c>
    </row>
    <row r="287" spans="1:6">
      <c r="A287" s="9" t="s">
        <v>610</v>
      </c>
      <c r="B287" s="19" t="e">
        <f>B285/B284</f>
        <v>#REF!</v>
      </c>
      <c r="C287" s="8"/>
      <c r="D287" s="10"/>
      <c r="E287" s="10"/>
      <c r="F287" s="11"/>
    </row>
    <row r="288" spans="1:6">
      <c r="A288" s="12" t="s">
        <v>611</v>
      </c>
      <c r="B288" s="20" t="e">
        <f>B282+B285</f>
        <v>#REF!</v>
      </c>
      <c r="C288" s="13"/>
      <c r="D288" s="14"/>
      <c r="E288" s="14"/>
      <c r="F288" s="15"/>
    </row>
    <row r="290" spans="1:6">
      <c r="A290" s="587" t="s">
        <v>612</v>
      </c>
      <c r="B290" s="588"/>
      <c r="D290" s="587" t="s">
        <v>613</v>
      </c>
      <c r="E290" s="588"/>
    </row>
    <row r="291" spans="1:6">
      <c r="A291" s="35" t="str">
        <f>A254</f>
        <v>Venture loans</v>
      </c>
      <c r="B291" s="36" t="e">
        <f>B258</f>
        <v>#VALUE!</v>
      </c>
      <c r="C291" s="44" t="b">
        <f>ISNUMBER(B291)</f>
        <v>0</v>
      </c>
      <c r="D291" s="35" t="str">
        <f>A291</f>
        <v>Venture loans</v>
      </c>
      <c r="E291" s="36" t="e">
        <f>B259-B260</f>
        <v>#VALUE!</v>
      </c>
      <c r="F291" s="44" t="b">
        <f>ISNUMBER(E291)</f>
        <v>0</v>
      </c>
    </row>
    <row r="292" spans="1:6">
      <c r="A292" s="37" t="str">
        <f>A263</f>
        <v>Leasing</v>
      </c>
      <c r="B292" s="38" t="e">
        <f>B267</f>
        <v>#REF!</v>
      </c>
      <c r="C292" s="44" t="b">
        <f>ISNUMBER(B292)</f>
        <v>0</v>
      </c>
      <c r="D292" s="37" t="str">
        <f>A292</f>
        <v>Leasing</v>
      </c>
      <c r="E292" s="38" t="e">
        <f>B268-B269</f>
        <v>#REF!</v>
      </c>
      <c r="F292" s="44" t="b">
        <f>ISNUMBER(E292)</f>
        <v>0</v>
      </c>
    </row>
    <row r="293" spans="1:6">
      <c r="A293" s="37" t="str">
        <f>A272</f>
        <v>Cash flow</v>
      </c>
      <c r="B293" s="39" t="e">
        <f>B276</f>
        <v>#REF!</v>
      </c>
      <c r="C293" s="44" t="b">
        <f>ISNUMBER(B293)</f>
        <v>0</v>
      </c>
      <c r="D293" s="37" t="str">
        <f>A293</f>
        <v>Cash flow</v>
      </c>
      <c r="E293" s="39" t="e">
        <f>B277-B278</f>
        <v>#REF!</v>
      </c>
      <c r="F293" s="44" t="b">
        <f>ISNUMBER(E293)</f>
        <v>0</v>
      </c>
    </row>
    <row r="294" spans="1:6">
      <c r="A294" s="40" t="str">
        <f>A281</f>
        <v>Others</v>
      </c>
      <c r="B294" s="41" t="e">
        <f>B285</f>
        <v>#REF!</v>
      </c>
      <c r="C294" s="44" t="b">
        <f>ISNUMBER(B294)</f>
        <v>0</v>
      </c>
      <c r="D294" s="40" t="str">
        <f>A294</f>
        <v>Others</v>
      </c>
      <c r="E294" s="41" t="e">
        <f>B286-B287</f>
        <v>#REF!</v>
      </c>
      <c r="F294" s="44" t="b">
        <f>ISNUMBER(E294)</f>
        <v>0</v>
      </c>
    </row>
    <row r="296" spans="1:6">
      <c r="A296" s="31" t="s">
        <v>614</v>
      </c>
      <c r="B296" s="34">
        <f>SUMIFS(B291:B294,C291:C294,TRUE)</f>
        <v>0</v>
      </c>
      <c r="D296" s="31" t="s">
        <v>615</v>
      </c>
      <c r="E296" s="34">
        <f>SUMIFS(E291:E294,F291:F294,TRUE)</f>
        <v>0</v>
      </c>
    </row>
  </sheetData>
  <mergeCells count="40">
    <mergeCell ref="A1:F2"/>
    <mergeCell ref="A66:F67"/>
    <mergeCell ref="A68:F68"/>
    <mergeCell ref="A77:F77"/>
    <mergeCell ref="A86:F86"/>
    <mergeCell ref="A63:F64"/>
    <mergeCell ref="D42:E42"/>
    <mergeCell ref="A6:F6"/>
    <mergeCell ref="A15:F15"/>
    <mergeCell ref="A24:F24"/>
    <mergeCell ref="A33:F33"/>
    <mergeCell ref="A4:F5"/>
    <mergeCell ref="D104:E104"/>
    <mergeCell ref="D166:E166"/>
    <mergeCell ref="D228:E228"/>
    <mergeCell ref="A128:F129"/>
    <mergeCell ref="A130:F130"/>
    <mergeCell ref="A139:F139"/>
    <mergeCell ref="A148:F148"/>
    <mergeCell ref="A190:F191"/>
    <mergeCell ref="A192:F192"/>
    <mergeCell ref="A201:F201"/>
    <mergeCell ref="A210:F210"/>
    <mergeCell ref="A219:F219"/>
    <mergeCell ref="D290:E290"/>
    <mergeCell ref="A104:B104"/>
    <mergeCell ref="A42:B42"/>
    <mergeCell ref="A166:B166"/>
    <mergeCell ref="A228:B228"/>
    <mergeCell ref="A290:B290"/>
    <mergeCell ref="A125:F126"/>
    <mergeCell ref="A249:F250"/>
    <mergeCell ref="A157:F157"/>
    <mergeCell ref="A187:F188"/>
    <mergeCell ref="A95:F95"/>
    <mergeCell ref="A252:F253"/>
    <mergeCell ref="A254:F254"/>
    <mergeCell ref="A263:F263"/>
    <mergeCell ref="A272:F272"/>
    <mergeCell ref="A281:F281"/>
  </mergeCells>
  <pageMargins left="0.31496062992125984" right="0.31496062992125984" top="0.39370078740157483" bottom="0.39370078740157483" header="0" footer="0"/>
  <pageSetup paperSize="9" scale="86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141"/>
  <sheetViews>
    <sheetView zoomScaleNormal="100" workbookViewId="0">
      <selection activeCell="B25" sqref="B25"/>
    </sheetView>
  </sheetViews>
  <sheetFormatPr defaultColWidth="9" defaultRowHeight="10.5" outlineLevelRow="1"/>
  <cols>
    <col min="1" max="1" width="38" style="3" customWidth="1"/>
    <col min="2" max="11" width="16.5703125" style="3" customWidth="1"/>
    <col min="12" max="12" width="16.5703125" style="3" hidden="1" customWidth="1"/>
    <col min="13" max="13" width="9" style="3"/>
    <col min="14" max="14" width="11.42578125" style="3" bestFit="1" customWidth="1"/>
    <col min="15" max="16384" width="9" style="3"/>
  </cols>
  <sheetData>
    <row r="1" spans="1:12" customFormat="1" ht="23.85" customHeight="1">
      <c r="A1" s="554" t="str">
        <f>Menù!D3</f>
        <v>Trovato 1929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</row>
    <row r="2" spans="1:12" customFormat="1" ht="45" customHeight="1">
      <c r="A2" s="555" t="str">
        <f>Menù!A2</f>
        <v>Budget e Business Plan</v>
      </c>
      <c r="B2" s="555"/>
      <c r="C2" s="555"/>
      <c r="D2" s="555"/>
      <c r="E2" s="555"/>
      <c r="F2" s="555"/>
      <c r="G2" s="555"/>
      <c r="H2" s="555"/>
      <c r="I2" s="555"/>
      <c r="J2" s="555"/>
      <c r="K2" s="555"/>
      <c r="L2" s="555"/>
    </row>
    <row r="3" spans="1:12" customFormat="1" ht="12.75">
      <c r="A3" s="556" t="s">
        <v>616</v>
      </c>
      <c r="B3" s="556"/>
      <c r="C3" s="556"/>
      <c r="D3" s="556"/>
      <c r="E3" s="556"/>
      <c r="F3" s="556"/>
      <c r="G3" s="556"/>
      <c r="H3" s="556"/>
      <c r="I3" s="556"/>
      <c r="J3" s="556"/>
      <c r="K3" s="556"/>
      <c r="L3" s="556"/>
    </row>
    <row r="4" spans="1:12" customFormat="1" ht="12.75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</row>
    <row r="5" spans="1:12" customFormat="1" ht="13.5" thickBot="1">
      <c r="A5" s="105"/>
      <c r="B5" s="544">
        <f>B7</f>
        <v>2025</v>
      </c>
      <c r="C5" s="105"/>
      <c r="D5" s="544">
        <f>D7</f>
        <v>2026</v>
      </c>
      <c r="E5" s="105"/>
      <c r="F5" s="544">
        <f>F7</f>
        <v>2027</v>
      </c>
      <c r="G5" s="105"/>
      <c r="H5" s="544">
        <f>H7</f>
        <v>2028</v>
      </c>
      <c r="I5" s="105"/>
      <c r="J5" s="544">
        <f>J7</f>
        <v>2029</v>
      </c>
      <c r="K5" s="105"/>
      <c r="L5" s="105"/>
    </row>
    <row r="6" spans="1:12" customFormat="1" ht="17.25" thickTop="1">
      <c r="A6" s="555"/>
      <c r="B6" s="555"/>
      <c r="C6" s="555"/>
      <c r="D6" s="555"/>
      <c r="E6" s="555"/>
      <c r="F6" s="555"/>
      <c r="G6" s="555"/>
      <c r="H6" s="555"/>
      <c r="I6" s="555"/>
      <c r="J6" s="555"/>
      <c r="K6" s="555"/>
      <c r="L6" s="555"/>
    </row>
    <row r="7" spans="1:12" ht="16.350000000000001" customHeight="1" outlineLevel="1" thickBot="1">
      <c r="A7" s="162" t="s">
        <v>617</v>
      </c>
      <c r="B7" s="109">
        <f>'C.E.'!C5</f>
        <v>2025</v>
      </c>
      <c r="C7" s="109" t="s">
        <v>618</v>
      </c>
      <c r="D7" s="109">
        <f>'C.E.'!D5</f>
        <v>2026</v>
      </c>
      <c r="E7" s="109" t="s">
        <v>618</v>
      </c>
      <c r="F7" s="109">
        <f>'C.E.'!E5</f>
        <v>2027</v>
      </c>
      <c r="G7" s="109" t="s">
        <v>618</v>
      </c>
      <c r="H7" s="109">
        <f>'C.E.'!F5</f>
        <v>2028</v>
      </c>
      <c r="I7" s="109" t="s">
        <v>618</v>
      </c>
      <c r="J7" s="109">
        <f>'C.E.'!G5</f>
        <v>2029</v>
      </c>
      <c r="K7" s="109" t="s">
        <v>618</v>
      </c>
      <c r="L7" s="45" t="s">
        <v>619</v>
      </c>
    </row>
    <row r="8" spans="1:12" ht="16.350000000000001" customHeight="1" outlineLevel="1" thickTop="1">
      <c r="A8" s="54" t="str">
        <f>'W. Month'!A14</f>
        <v>Revenues before lunch</v>
      </c>
      <c r="B8" s="144">
        <f>('W. Month'!N14/365)*(365-'W. Month'!O14)</f>
        <v>365654.54545454535</v>
      </c>
      <c r="C8" s="144">
        <f>'W. Month'!N14-'CF Plur'!B8</f>
        <v>0</v>
      </c>
      <c r="D8" s="171">
        <f>('W. Month'!N29/365)*(365-'W. Month'!O29)+C8</f>
        <v>394906.90909090906</v>
      </c>
      <c r="E8" s="171">
        <f>'W. Month'!N29-('W. Month'!N29/365)*(365-'W. Month'!O29)</f>
        <v>0</v>
      </c>
      <c r="F8" s="144">
        <f>('W. Month'!N44/365)*(365-'W. Month'!O44)+E8</f>
        <v>425183.10545454535</v>
      </c>
      <c r="G8" s="171">
        <f>'W. Month'!N44-('W. Month'!N44/365)*(365-'W. Month'!O44)</f>
        <v>0</v>
      </c>
      <c r="H8" s="144">
        <f>('W. Month'!N59/365)*(365-'W. Month'!O59)+G8</f>
        <v>456512.38690909074</v>
      </c>
      <c r="I8" s="144">
        <f>'W. Month'!N59-('W. Month'!N59/365)*(365-'W. Month'!O59)</f>
        <v>0</v>
      </c>
      <c r="J8" s="144">
        <f>('W. Month'!N74/365)*(365-'W. Month'!O74)+I8</f>
        <v>488924.7663796363</v>
      </c>
      <c r="K8" s="144">
        <f>'W. Month'!N74-('W. Month'!N74/365)*(365-'W. Month'!O74)</f>
        <v>0</v>
      </c>
      <c r="L8" s="47" t="b">
        <f>J8+H8+F8+D8+B8='W. Month'!N14+'W. Month'!N29+'W. Month'!N44+'W. Month'!N59+'W. Month'!N74</f>
        <v>1</v>
      </c>
    </row>
    <row r="9" spans="1:12" ht="16.350000000000001" customHeight="1" outlineLevel="1">
      <c r="A9" s="54" t="str">
        <f>'W. Month'!A15</f>
        <v>Revenues during lunch</v>
      </c>
      <c r="B9" s="144">
        <f>('W. Month'!N15/365)*(365-'W. Month'!O15)</f>
        <v>258109.09090909088</v>
      </c>
      <c r="C9" s="144">
        <f>'W. Month'!N15-'CF Plur'!B9</f>
        <v>0</v>
      </c>
      <c r="D9" s="171">
        <f>('W. Month'!N30/365)*(365-'W. Month'!O30)+C9</f>
        <v>276434.83636363619</v>
      </c>
      <c r="E9" s="171">
        <f>'W. Month'!N30-('W. Month'!N30/365)*(365-'W. Month'!O30)</f>
        <v>0</v>
      </c>
      <c r="F9" s="144">
        <f>('W. Month'!N45/365)*(365-'W. Month'!O45)+E9</f>
        <v>295390.3679999999</v>
      </c>
      <c r="G9" s="171">
        <f>'W. Month'!N45-('W. Month'!N45/365)*(365-'W. Month'!O45)</f>
        <v>0</v>
      </c>
      <c r="H9" s="144">
        <f>('W. Month'!N60/365)*(365-'W. Month'!O60)+G9</f>
        <v>314993.5469672727</v>
      </c>
      <c r="I9" s="144">
        <f>'W. Month'!N60-('W. Month'!N60/365)*(365-'W. Month'!O60)</f>
        <v>0</v>
      </c>
      <c r="J9" s="144">
        <f>('W. Month'!N75/365)*(365-'W. Month'!O75)+I9</f>
        <v>335262.6969460363</v>
      </c>
      <c r="K9" s="144">
        <f>'W. Month'!N75-('W. Month'!N75/365)*(365-'W. Month'!O75)</f>
        <v>0</v>
      </c>
      <c r="L9" s="47" t="b">
        <f>J9+H9+F9+D9+B9='W. Month'!N15+'W. Month'!N30+'W. Month'!N45+'W. Month'!N60+'W. Month'!N75</f>
        <v>1</v>
      </c>
    </row>
    <row r="10" spans="1:12" ht="16.350000000000001" customHeight="1" outlineLevel="1">
      <c r="A10" s="54" t="str">
        <f>'W. Month'!A16</f>
        <v>Revenues after lunch</v>
      </c>
      <c r="B10" s="144">
        <f>('W. Month'!N16/365)*(365-'W. Month'!O16)</f>
        <v>92654.545454545441</v>
      </c>
      <c r="C10" s="144">
        <f>'W. Month'!N16-'CF Plur'!B10</f>
        <v>0</v>
      </c>
      <c r="D10" s="171">
        <f>('W. Month'!N31/365)*(365-'W. Month'!O31)+C10</f>
        <v>99233.018181818174</v>
      </c>
      <c r="E10" s="171">
        <f>'W. Month'!N31-('W. Month'!N31/365)*(365-'W. Month'!O31)</f>
        <v>0</v>
      </c>
      <c r="F10" s="144">
        <f>('W. Month'!N46/365)*(365-'W. Month'!O46)+E10</f>
        <v>106037.56799999998</v>
      </c>
      <c r="G10" s="171">
        <f>'W. Month'!N46-('W. Month'!N46/365)*(365-'W. Month'!O46)</f>
        <v>0</v>
      </c>
      <c r="H10" s="144">
        <f>('W. Month'!N61/365)*(365-'W. Month'!O61)+G10</f>
        <v>113074.60660363638</v>
      </c>
      <c r="I10" s="144">
        <f>'W. Month'!N61-('W. Month'!N61/365)*(365-'W. Month'!O61)</f>
        <v>0</v>
      </c>
      <c r="J10" s="144">
        <f>('W. Month'!N76/365)*(365-'W. Month'!O76)+I10</f>
        <v>120350.71172421816</v>
      </c>
      <c r="K10" s="144">
        <f>'W. Month'!N76-('W. Month'!N76/365)*(365-'W. Month'!O76)</f>
        <v>0</v>
      </c>
      <c r="L10" s="47" t="b">
        <f>J10+H10+F10+D10+B10='W. Month'!N16+'W. Month'!N31+'W. Month'!N46+'W. Month'!N61+'W. Month'!N76</f>
        <v>1</v>
      </c>
    </row>
    <row r="11" spans="1:12" ht="16.350000000000001" customHeight="1" outlineLevel="1">
      <c r="A11" s="54" t="str">
        <f>'W. Month'!A17</f>
        <v>Revenues during dinner</v>
      </c>
      <c r="B11" s="144">
        <f>('W. Month'!N17/365)*(365-'W. Month'!O17)</f>
        <v>37061.818181818184</v>
      </c>
      <c r="C11" s="144">
        <f>'W. Month'!N17-'CF Plur'!B11</f>
        <v>0</v>
      </c>
      <c r="D11" s="171">
        <f>('W. Month'!N32/365)*(365-'W. Month'!O32)+C11</f>
        <v>37803.054545454535</v>
      </c>
      <c r="E11" s="171">
        <f>'W. Month'!N32-('W. Month'!N32/365)*(365-'W. Month'!O32)</f>
        <v>0</v>
      </c>
      <c r="F11" s="144">
        <f>('W. Month'!N47/365)*(365-'W. Month'!O47)+E11</f>
        <v>38559.115636363626</v>
      </c>
      <c r="G11" s="171">
        <f>'W. Month'!N47-('W. Month'!N47/365)*(365-'W. Month'!O47)</f>
        <v>0</v>
      </c>
      <c r="H11" s="144">
        <f>('W. Month'!N62/365)*(365-'W. Month'!O62)+G11</f>
        <v>39330.297949090898</v>
      </c>
      <c r="I11" s="144">
        <f>'W. Month'!N62-('W. Month'!N62/365)*(365-'W. Month'!O62)</f>
        <v>0</v>
      </c>
      <c r="J11" s="144">
        <f>('W. Month'!N77/365)*(365-'W. Month'!O77)+I11</f>
        <v>40116.903908072716</v>
      </c>
      <c r="K11" s="144">
        <f>'W. Month'!N77-('W. Month'!N77/365)*(365-'W. Month'!O77)</f>
        <v>0</v>
      </c>
      <c r="L11" s="47" t="b">
        <f>J11+H11+F11+D11+B11='W. Month'!N17+'W. Month'!N32+'W. Month'!N47+'W. Month'!N62+'W. Month'!N77</f>
        <v>1</v>
      </c>
    </row>
    <row r="12" spans="1:12" ht="16.350000000000001" customHeight="1" outlineLevel="1">
      <c r="A12" s="54" t="str">
        <f>'W. Month'!A18</f>
        <v>//</v>
      </c>
      <c r="B12" s="144">
        <f>('W. Month'!N18/365)*(365-'W. Month'!O18)</f>
        <v>0</v>
      </c>
      <c r="C12" s="144">
        <f>'W. Month'!N18-'CF Plur'!B12</f>
        <v>0</v>
      </c>
      <c r="D12" s="171">
        <f>('W. Month'!N33/365)*(365-'W. Month'!O33)+C12</f>
        <v>0</v>
      </c>
      <c r="E12" s="171">
        <f>'W. Month'!N33-('W. Month'!N33/365)*(365-'W. Month'!O33)</f>
        <v>0</v>
      </c>
      <c r="F12" s="144">
        <f>('W. Month'!N48/365)*(365-'W. Month'!O48)+E12</f>
        <v>0</v>
      </c>
      <c r="G12" s="171">
        <f>'W. Month'!N48-('W. Month'!N48/365)*(365-'W. Month'!O48)</f>
        <v>0</v>
      </c>
      <c r="H12" s="144">
        <f>('W. Month'!N63/365)*(365-'W. Month'!O63)+G12</f>
        <v>0</v>
      </c>
      <c r="I12" s="144">
        <f>'W. Month'!N63-('W. Month'!N63/365)*(365-'W. Month'!O63)</f>
        <v>0</v>
      </c>
      <c r="J12" s="144">
        <f>('W. Month'!N78/365)*(365-'W. Month'!O78)+I12</f>
        <v>0</v>
      </c>
      <c r="K12" s="144">
        <f>'W. Month'!N78-('W. Month'!N78/365)*(365-'W. Month'!O78)</f>
        <v>0</v>
      </c>
      <c r="L12" s="47" t="b">
        <f>J12+H12+F12+D12+B12='W. Month'!N18+'W. Month'!N33+'W. Month'!N48+'W. Month'!N63+'W. Month'!N78</f>
        <v>1</v>
      </c>
    </row>
    <row r="13" spans="1:12" ht="16.350000000000001" customHeight="1" outlineLevel="1">
      <c r="A13" s="54" t="str">
        <f>'W. Month'!A19</f>
        <v>//</v>
      </c>
      <c r="B13" s="144">
        <f>('W. Month'!N19/365)*(365-'W. Month'!O19)</f>
        <v>0</v>
      </c>
      <c r="C13" s="144">
        <f>'W. Month'!N19-'CF Plur'!B13</f>
        <v>0</v>
      </c>
      <c r="D13" s="171">
        <f>('W. Month'!N34/365)*(365-'W. Month'!O34)+C13</f>
        <v>0</v>
      </c>
      <c r="E13" s="171">
        <f>'W. Month'!N34-('W. Month'!N34/365)*(365-'W. Month'!O34)</f>
        <v>0</v>
      </c>
      <c r="F13" s="144">
        <f>('W. Month'!N49/365)*(365-'W. Month'!O49)+E13</f>
        <v>0</v>
      </c>
      <c r="G13" s="171">
        <f>'W. Month'!N49-('W. Month'!N49/365)*(365-'W. Month'!O49)</f>
        <v>0</v>
      </c>
      <c r="H13" s="144">
        <f>('W. Month'!N64/365)*(365-'W. Month'!O64)+G13</f>
        <v>0</v>
      </c>
      <c r="I13" s="144">
        <f>'W. Month'!N64-('W. Month'!N64/365)*(365-'W. Month'!O64)</f>
        <v>0</v>
      </c>
      <c r="J13" s="144">
        <f>('W. Month'!N79/365)*(365-'W. Month'!O79)+I13</f>
        <v>0</v>
      </c>
      <c r="K13" s="144">
        <f>'W. Month'!N79-('W. Month'!N79/365)*(365-'W. Month'!O79)</f>
        <v>0</v>
      </c>
      <c r="L13" s="47" t="b">
        <f>J13+H13+F13+D13+B13='W. Month'!N19+'W. Month'!N34+'W. Month'!N49+'W. Month'!N64+'W. Month'!N79</f>
        <v>1</v>
      </c>
    </row>
    <row r="14" spans="1:12" ht="16.350000000000001" customHeight="1" outlineLevel="1">
      <c r="A14" s="54" t="str">
        <f>'W. Month'!A20</f>
        <v>//</v>
      </c>
      <c r="B14" s="144">
        <f>('W. Month'!N20/365)*(365-'W. Month'!O20)</f>
        <v>0</v>
      </c>
      <c r="C14" s="144">
        <f>'W. Month'!N20-'CF Plur'!B14</f>
        <v>0</v>
      </c>
      <c r="D14" s="171">
        <f>('W. Month'!N35/365)*(365-'W. Month'!O35)+C14</f>
        <v>0</v>
      </c>
      <c r="E14" s="171">
        <f>'W. Month'!N35-('W. Month'!N35/365)*(365-'W. Month'!O35)</f>
        <v>0</v>
      </c>
      <c r="F14" s="144">
        <f>('W. Month'!N50/365)*(365-'W. Month'!O50)+E14</f>
        <v>0</v>
      </c>
      <c r="G14" s="171">
        <f>'W. Month'!N50-('W. Month'!N50/365)*(365-'W. Month'!O50)</f>
        <v>0</v>
      </c>
      <c r="H14" s="144">
        <f>('W. Month'!N65/365)*(365-'W. Month'!O65)+G14</f>
        <v>0</v>
      </c>
      <c r="I14" s="144">
        <f>'W. Month'!N65-('W. Month'!N65/365)*(365-'W. Month'!O65)</f>
        <v>0</v>
      </c>
      <c r="J14" s="144">
        <f>('W. Month'!N80/365)*(365-'W. Month'!O80)+I14</f>
        <v>0</v>
      </c>
      <c r="K14" s="144">
        <f>'W. Month'!N80-('W. Month'!N80/365)*(365-'W. Month'!O80)</f>
        <v>0</v>
      </c>
      <c r="L14" s="47" t="b">
        <f>J14+H14+F14+D14+B14='W. Month'!N20+'W. Month'!N35+'W. Month'!N50+'W. Month'!N65+'W. Month'!N80</f>
        <v>1</v>
      </c>
    </row>
    <row r="15" spans="1:12" ht="16.350000000000001" customHeight="1" outlineLevel="1">
      <c r="A15" s="54" t="str">
        <f>'W. Month'!A21</f>
        <v>//</v>
      </c>
      <c r="B15" s="144">
        <f>('W. Month'!N21/365)*(365-'W. Month'!O21)</f>
        <v>0</v>
      </c>
      <c r="C15" s="144">
        <f>'W. Month'!N21-'CF Plur'!B15</f>
        <v>0</v>
      </c>
      <c r="D15" s="171">
        <f>('W. Month'!N36/365)*(365-'W. Month'!O36)+C15</f>
        <v>0</v>
      </c>
      <c r="E15" s="171">
        <f>'W. Month'!N36-('W. Month'!N36/365)*(365-'W. Month'!O36)</f>
        <v>0</v>
      </c>
      <c r="F15" s="144">
        <f>('W. Month'!N51/365)*(365-'W. Month'!O51)+E15</f>
        <v>0</v>
      </c>
      <c r="G15" s="171">
        <f>'W. Month'!N51-('W. Month'!N51/365)*(365-'W. Month'!O51)</f>
        <v>0</v>
      </c>
      <c r="H15" s="144">
        <f>('W. Month'!N66/365)*(365-'W. Month'!O66)+G15</f>
        <v>0</v>
      </c>
      <c r="I15" s="144">
        <f>'W. Month'!N66-('W. Month'!N66/365)*(365-'W. Month'!O66)</f>
        <v>0</v>
      </c>
      <c r="J15" s="144">
        <f>('W. Month'!N81/365)*(365-'W. Month'!O81)+I15</f>
        <v>0</v>
      </c>
      <c r="K15" s="144">
        <f>'W. Month'!N81-('W. Month'!N81/365)*(365-'W. Month'!O81)</f>
        <v>0</v>
      </c>
      <c r="L15" s="47" t="b">
        <f>J15+H15+F15+D15+B15='W. Month'!N21+'W. Month'!N36+'W. Month'!N51+'W. Month'!N66+'W. Month'!N81</f>
        <v>1</v>
      </c>
    </row>
    <row r="16" spans="1:12" ht="16.350000000000001" customHeight="1" outlineLevel="1">
      <c r="A16" s="54" t="str">
        <f>'W. Month'!A22</f>
        <v>//</v>
      </c>
      <c r="B16" s="144">
        <f>('W. Month'!N22/365)*(365-'W. Month'!O22)</f>
        <v>0</v>
      </c>
      <c r="C16" s="144">
        <f>'W. Month'!N22-'CF Plur'!B16</f>
        <v>0</v>
      </c>
      <c r="D16" s="171">
        <f>('W. Month'!N37/365)*(365-'W. Month'!O37)+C16</f>
        <v>0</v>
      </c>
      <c r="E16" s="171">
        <f>'W. Month'!N37-('W. Month'!N37/365)*(365-'W. Month'!O37)</f>
        <v>0</v>
      </c>
      <c r="F16" s="144">
        <f>('W. Month'!N52/365)*(365-'W. Month'!O52)+E16</f>
        <v>0</v>
      </c>
      <c r="G16" s="171">
        <f>'W. Month'!N52-('W. Month'!N52/365)*(365-'W. Month'!O52)</f>
        <v>0</v>
      </c>
      <c r="H16" s="144">
        <f>('W. Month'!N67/365)*(365-'W. Month'!O67)+G16</f>
        <v>0</v>
      </c>
      <c r="I16" s="144">
        <f>'W. Month'!N67-('W. Month'!N67/365)*(365-'W. Month'!O67)</f>
        <v>0</v>
      </c>
      <c r="J16" s="144">
        <f>('W. Month'!N82/365)*(365-'W. Month'!O82)+I16</f>
        <v>0</v>
      </c>
      <c r="K16" s="144">
        <f>'W. Month'!N82-('W. Month'!N82/365)*(365-'W. Month'!O82)</f>
        <v>0</v>
      </c>
      <c r="L16" s="47" t="b">
        <f>J16+H16+F16+D16+B16='W. Month'!N22+'W. Month'!N37+'W. Month'!N52+'W. Month'!N67+'W. Month'!N82</f>
        <v>1</v>
      </c>
    </row>
    <row r="17" spans="1:12" ht="16.350000000000001" customHeight="1" outlineLevel="1">
      <c r="A17" s="54" t="str">
        <f>'W. Month'!A23</f>
        <v>//</v>
      </c>
      <c r="B17" s="144">
        <f>('W. Month'!N23/365)*(365-'W. Month'!O23)</f>
        <v>0</v>
      </c>
      <c r="C17" s="144">
        <f>'W. Month'!N23-'CF Plur'!B17</f>
        <v>0</v>
      </c>
      <c r="D17" s="171">
        <f>('W. Month'!N38/365)*(365-'W. Month'!O38)+C17</f>
        <v>0</v>
      </c>
      <c r="E17" s="171">
        <f>'W. Month'!N38-('W. Month'!N38/365)*(365-'W. Month'!O38)</f>
        <v>0</v>
      </c>
      <c r="F17" s="144">
        <f>('W. Month'!N53/365)*(365-'W. Month'!O53)+E17</f>
        <v>0</v>
      </c>
      <c r="G17" s="171">
        <f>'W. Month'!N53-('W. Month'!N53/365)*(365-'W. Month'!O53)</f>
        <v>0</v>
      </c>
      <c r="H17" s="144">
        <f>('W. Month'!N68/365)*(365-'W. Month'!O68)+G17</f>
        <v>0</v>
      </c>
      <c r="I17" s="144">
        <f>'W. Month'!N68-('W. Month'!N68/365)*(365-'W. Month'!O68)</f>
        <v>0</v>
      </c>
      <c r="J17" s="144">
        <f>('W. Month'!N83/365)*(365-'W. Month'!O83)+I17</f>
        <v>0</v>
      </c>
      <c r="K17" s="144">
        <f>'W. Month'!N83-('W. Month'!N83/365)*(365-'W. Month'!O83)</f>
        <v>0</v>
      </c>
      <c r="L17" s="47" t="b">
        <f>J17+H17+F17+D17+B17='W. Month'!N23+'W. Month'!N38+'W. Month'!N53+'W. Month'!N68+'W. Month'!N83</f>
        <v>1</v>
      </c>
    </row>
    <row r="18" spans="1:12" ht="16.350000000000001" customHeight="1" outlineLevel="1">
      <c r="A18" s="54" t="str">
        <f>'W. Month'!A24</f>
        <v>//</v>
      </c>
      <c r="B18" s="144">
        <f>('W. Month'!N24/365)*(365-'W. Month'!O24)</f>
        <v>0</v>
      </c>
      <c r="C18" s="144">
        <f>'W. Month'!N24-'CF Plur'!B18</f>
        <v>0</v>
      </c>
      <c r="D18" s="171">
        <f>('W. Month'!N39/365)*(365-'W. Month'!O39)+C18</f>
        <v>0</v>
      </c>
      <c r="E18" s="171">
        <f>'W. Month'!N39-('W. Month'!N39/365)*(365-'W. Month'!O39)</f>
        <v>0</v>
      </c>
      <c r="F18" s="144">
        <f>('W. Month'!N54/365)*(365-'W. Month'!O54)+E18</f>
        <v>0</v>
      </c>
      <c r="G18" s="171">
        <f>'W. Month'!N54-('W. Month'!N54/365)*(365-'W. Month'!O54)</f>
        <v>0</v>
      </c>
      <c r="H18" s="144">
        <f>('W. Month'!N69/365)*(365-'W. Month'!O69)+G18</f>
        <v>0</v>
      </c>
      <c r="I18" s="144">
        <f>'W. Month'!N69-('W. Month'!N69/365)*(365-'W. Month'!O69)</f>
        <v>0</v>
      </c>
      <c r="J18" s="144">
        <f>('W. Month'!N84/365)*(365-'W. Month'!O84)+I18</f>
        <v>0</v>
      </c>
      <c r="K18" s="144">
        <f>'W. Month'!N84-('W. Month'!N84/365)*(365-'W. Month'!O84)</f>
        <v>0</v>
      </c>
      <c r="L18" s="47" t="b">
        <f>J18+H18+F18+D18+B18='W. Month'!N24+'W. Month'!N39+'W. Month'!N54+'W. Month'!N69+'W. Month'!N84</f>
        <v>1</v>
      </c>
    </row>
    <row r="19" spans="1:12" ht="16.350000000000001" customHeight="1" outlineLevel="1">
      <c r="A19" s="54" t="str">
        <f>'W. Month'!A25</f>
        <v>//</v>
      </c>
      <c r="B19" s="144">
        <f>('W. Month'!N25/365)*(365-'W. Month'!O25)</f>
        <v>0</v>
      </c>
      <c r="C19" s="144">
        <f>'W. Month'!N25-'CF Plur'!B19</f>
        <v>0</v>
      </c>
      <c r="D19" s="171">
        <f>('W. Month'!N40/365)*(365-'W. Month'!O40)+C19</f>
        <v>0</v>
      </c>
      <c r="E19" s="171">
        <f>'W. Month'!N40-('W. Month'!N40/365)*(365-'W. Month'!O40)</f>
        <v>0</v>
      </c>
      <c r="F19" s="144">
        <f>('W. Month'!N55/365)*(365-'W. Month'!O55)+E19</f>
        <v>0</v>
      </c>
      <c r="G19" s="171">
        <f>'W. Month'!N55-('W. Month'!N55/365)*(365-'W. Month'!O55)</f>
        <v>0</v>
      </c>
      <c r="H19" s="144">
        <f>('W. Month'!N70/365)*(365-'W. Month'!O70)+G19</f>
        <v>0</v>
      </c>
      <c r="I19" s="144">
        <f>'W. Month'!N70-('W. Month'!N70/365)*(365-'W. Month'!O70)</f>
        <v>0</v>
      </c>
      <c r="J19" s="144">
        <f>('W. Month'!N85/365)*(365-'W. Month'!O85)+I19</f>
        <v>0</v>
      </c>
      <c r="K19" s="144">
        <f>'W. Month'!N85-('W. Month'!N85/365)*(365-'W. Month'!O85)</f>
        <v>0</v>
      </c>
      <c r="L19" s="47" t="b">
        <f>J19+H19+F19+D19+B19='W. Month'!N25+'W. Month'!N40+'W. Month'!N55+'W. Month'!N70+'W. Month'!N85</f>
        <v>1</v>
      </c>
    </row>
    <row r="20" spans="1:12" ht="16.350000000000001" customHeight="1" outlineLevel="1" thickBot="1">
      <c r="A20" s="164" t="s">
        <v>620</v>
      </c>
      <c r="B20" s="166">
        <f>SUM(B8:B19)</f>
        <v>753479.99999999988</v>
      </c>
      <c r="C20" s="166">
        <f>SUM(C8:C19)</f>
        <v>0</v>
      </c>
      <c r="D20" s="166">
        <f>SUM(D8:D19)</f>
        <v>808377.818181818</v>
      </c>
      <c r="E20" s="166">
        <f t="shared" ref="E20:J20" si="0">SUM(E8:E19)</f>
        <v>0</v>
      </c>
      <c r="F20" s="166">
        <f t="shared" si="0"/>
        <v>865170.15709090885</v>
      </c>
      <c r="G20" s="166">
        <f>SUM(G8:G19)</f>
        <v>0</v>
      </c>
      <c r="H20" s="166">
        <f t="shared" si="0"/>
        <v>923910.8384290908</v>
      </c>
      <c r="I20" s="166">
        <f t="shared" si="0"/>
        <v>0</v>
      </c>
      <c r="J20" s="166">
        <f t="shared" si="0"/>
        <v>984655.0789579635</v>
      </c>
      <c r="K20" s="166">
        <f>SUM(K8:K19)</f>
        <v>0</v>
      </c>
      <c r="L20" s="47" t="b">
        <f>J20+H20+F20+D20+B20='W. Month'!N26+'W. Month'!N41+'W. Month'!N56+'W. Month'!N71+'W. Month'!N86</f>
        <v>1</v>
      </c>
    </row>
    <row r="21" spans="1:12" ht="16.350000000000001" customHeight="1" outlineLevel="1" thickTop="1">
      <c r="A21" s="55"/>
      <c r="B21" s="42"/>
      <c r="C21" s="42"/>
      <c r="D21" s="43"/>
      <c r="E21" s="43"/>
      <c r="F21" s="42"/>
      <c r="G21" s="42"/>
      <c r="H21" s="42"/>
      <c r="I21" s="42"/>
      <c r="J21" s="42"/>
      <c r="K21" s="42"/>
    </row>
    <row r="22" spans="1:12" ht="16.350000000000001" customHeight="1" outlineLevel="1" thickBot="1">
      <c r="A22" s="162" t="s">
        <v>82</v>
      </c>
      <c r="B22" s="157" t="s">
        <v>621</v>
      </c>
      <c r="C22" s="109" t="s">
        <v>618</v>
      </c>
      <c r="D22" s="157" t="s">
        <v>621</v>
      </c>
      <c r="E22" s="109" t="s">
        <v>618</v>
      </c>
      <c r="F22" s="157" t="s">
        <v>621</v>
      </c>
      <c r="G22" s="109" t="s">
        <v>618</v>
      </c>
      <c r="H22" s="157" t="s">
        <v>621</v>
      </c>
      <c r="I22" s="109" t="s">
        <v>618</v>
      </c>
      <c r="J22" s="157" t="s">
        <v>621</v>
      </c>
      <c r="K22" s="109" t="s">
        <v>618</v>
      </c>
      <c r="L22" s="47" t="str">
        <f>L7</f>
        <v>Controllo</v>
      </c>
    </row>
    <row r="23" spans="1:12" ht="16.350000000000001" customHeight="1" outlineLevel="1" thickTop="1">
      <c r="A23" s="53" t="s">
        <v>82</v>
      </c>
      <c r="B23" s="143">
        <f>'W Plur.'!B138</f>
        <v>62376.363636363625</v>
      </c>
      <c r="C23" s="143">
        <f>C20*0.21</f>
        <v>0</v>
      </c>
      <c r="D23" s="143">
        <f>'W Plur.'!C138</f>
        <v>67134.174545454545</v>
      </c>
      <c r="E23" s="143">
        <f t="shared" ref="E23:K23" si="1">E20*0.21</f>
        <v>0</v>
      </c>
      <c r="F23" s="143">
        <f>'W Plur.'!D138</f>
        <v>72057.347345454546</v>
      </c>
      <c r="G23" s="143">
        <f t="shared" si="1"/>
        <v>0</v>
      </c>
      <c r="H23" s="143">
        <f>'W Plur.'!E138</f>
        <v>77150.593387636356</v>
      </c>
      <c r="I23" s="143">
        <f t="shared" si="1"/>
        <v>0</v>
      </c>
      <c r="J23" s="143">
        <f>'W Plur.'!F138</f>
        <v>82418.746332567287</v>
      </c>
      <c r="K23" s="143">
        <f t="shared" si="1"/>
        <v>0</v>
      </c>
      <c r="L23" s="47" t="s">
        <v>26</v>
      </c>
    </row>
    <row r="24" spans="1:12" ht="16.350000000000001" customHeight="1" outlineLevel="1">
      <c r="A24" s="55"/>
      <c r="B24" s="42"/>
      <c r="C24" s="42"/>
      <c r="D24" s="43"/>
      <c r="E24" s="43"/>
      <c r="F24" s="42"/>
      <c r="G24" s="42"/>
      <c r="H24" s="42"/>
      <c r="I24" s="42"/>
      <c r="J24" s="42"/>
      <c r="K24" s="42"/>
    </row>
    <row r="25" spans="1:12" ht="16.350000000000001" customHeight="1" outlineLevel="1" thickBot="1">
      <c r="A25" s="162" t="s">
        <v>622</v>
      </c>
      <c r="B25" s="109">
        <f>B7</f>
        <v>2025</v>
      </c>
      <c r="C25" s="109" t="s">
        <v>26</v>
      </c>
      <c r="D25" s="109">
        <f>D7</f>
        <v>2026</v>
      </c>
      <c r="E25" s="109" t="s">
        <v>26</v>
      </c>
      <c r="F25" s="109">
        <f>F7</f>
        <v>2027</v>
      </c>
      <c r="G25" s="109" t="s">
        <v>26</v>
      </c>
      <c r="H25" s="109">
        <f>H7</f>
        <v>2028</v>
      </c>
      <c r="I25" s="109" t="s">
        <v>26</v>
      </c>
      <c r="J25" s="109">
        <f>J7</f>
        <v>2029</v>
      </c>
      <c r="K25" s="109" t="s">
        <v>26</v>
      </c>
      <c r="L25" s="45" t="s">
        <v>61</v>
      </c>
    </row>
    <row r="26" spans="1:12" ht="16.350000000000001" customHeight="1" outlineLevel="1" thickTop="1">
      <c r="A26" s="110" t="s">
        <v>180</v>
      </c>
      <c r="B26" s="144">
        <f>Inv.!D100</f>
        <v>250498.8</v>
      </c>
      <c r="C26" s="143" t="s">
        <v>26</v>
      </c>
      <c r="D26" s="144">
        <v>0</v>
      </c>
      <c r="E26" s="143" t="s">
        <v>26</v>
      </c>
      <c r="F26" s="144">
        <v>0</v>
      </c>
      <c r="G26" s="143" t="s">
        <v>26</v>
      </c>
      <c r="H26" s="144">
        <f>Inv.!K100</f>
        <v>0</v>
      </c>
      <c r="I26" s="143" t="s">
        <v>26</v>
      </c>
      <c r="J26" s="144">
        <f>Inv.!M100</f>
        <v>0</v>
      </c>
      <c r="K26" s="143" t="s">
        <v>26</v>
      </c>
      <c r="L26" s="51">
        <f>Inv.!O100</f>
        <v>250498.8</v>
      </c>
    </row>
    <row r="27" spans="1:12" ht="16.350000000000001" customHeight="1" outlineLevel="1">
      <c r="A27" s="110" t="s">
        <v>181</v>
      </c>
      <c r="B27" s="144">
        <f>Inv.!D101</f>
        <v>0</v>
      </c>
      <c r="C27" s="143" t="s">
        <v>26</v>
      </c>
      <c r="D27" s="144">
        <f>Inv.!F101</f>
        <v>0</v>
      </c>
      <c r="E27" s="143" t="s">
        <v>26</v>
      </c>
      <c r="F27" s="144">
        <f>Inv.!I101</f>
        <v>0</v>
      </c>
      <c r="G27" s="143" t="s">
        <v>26</v>
      </c>
      <c r="H27" s="144">
        <f>Inv.!K101</f>
        <v>0</v>
      </c>
      <c r="I27" s="143" t="s">
        <v>26</v>
      </c>
      <c r="J27" s="144">
        <f>Inv.!M101</f>
        <v>0</v>
      </c>
      <c r="K27" s="143" t="s">
        <v>26</v>
      </c>
      <c r="L27" s="51">
        <f>Inv.!O101</f>
        <v>0</v>
      </c>
    </row>
    <row r="28" spans="1:12" ht="16.350000000000001" customHeight="1" outlineLevel="1">
      <c r="A28" s="110" t="s">
        <v>623</v>
      </c>
      <c r="B28" s="144">
        <f>Inv.!D102</f>
        <v>0</v>
      </c>
      <c r="C28" s="143" t="s">
        <v>26</v>
      </c>
      <c r="D28" s="144">
        <v>0</v>
      </c>
      <c r="E28" s="143" t="s">
        <v>26</v>
      </c>
      <c r="F28" s="144">
        <f>Inv.!I102</f>
        <v>0</v>
      </c>
      <c r="G28" s="143" t="s">
        <v>26</v>
      </c>
      <c r="H28" s="144">
        <f>Inv.!K102</f>
        <v>0</v>
      </c>
      <c r="I28" s="143" t="s">
        <v>26</v>
      </c>
      <c r="J28" s="144">
        <f>Inv.!M102</f>
        <v>0</v>
      </c>
      <c r="K28" s="143" t="s">
        <v>26</v>
      </c>
      <c r="L28" s="51">
        <f>Inv.!O102</f>
        <v>0</v>
      </c>
    </row>
    <row r="29" spans="1:12" ht="16.350000000000001" customHeight="1" outlineLevel="1">
      <c r="A29" s="110" t="str">
        <f>Inv.!A103</f>
        <v>Leasing</v>
      </c>
      <c r="B29" s="144">
        <f>Inv.!D103</f>
        <v>0</v>
      </c>
      <c r="C29" s="143" t="s">
        <v>26</v>
      </c>
      <c r="D29" s="144">
        <f>Inv.!F103</f>
        <v>0</v>
      </c>
      <c r="E29" s="143" t="s">
        <v>26</v>
      </c>
      <c r="F29" s="144">
        <f>Inv.!I103</f>
        <v>0</v>
      </c>
      <c r="G29" s="143" t="s">
        <v>26</v>
      </c>
      <c r="H29" s="144">
        <f>Inv.!K103</f>
        <v>0</v>
      </c>
      <c r="I29" s="143" t="s">
        <v>26</v>
      </c>
      <c r="J29" s="144">
        <f>Inv.!M103</f>
        <v>0</v>
      </c>
      <c r="K29" s="143" t="s">
        <v>26</v>
      </c>
      <c r="L29" s="51">
        <f>Inv.!O103</f>
        <v>0</v>
      </c>
    </row>
    <row r="30" spans="1:12" ht="16.350000000000001" customHeight="1" outlineLevel="1">
      <c r="A30" s="110" t="s">
        <v>184</v>
      </c>
      <c r="B30" s="144">
        <f>IF(A30="Leasing",0,Inv.!O104)</f>
        <v>0</v>
      </c>
      <c r="C30" s="143" t="s">
        <v>26</v>
      </c>
      <c r="D30" s="144">
        <v>0</v>
      </c>
      <c r="E30" s="143" t="s">
        <v>26</v>
      </c>
      <c r="F30" s="144">
        <v>0</v>
      </c>
      <c r="G30" s="143" t="s">
        <v>26</v>
      </c>
      <c r="H30" s="144">
        <v>0</v>
      </c>
      <c r="I30" s="143" t="s">
        <v>26</v>
      </c>
      <c r="J30" s="144">
        <v>0</v>
      </c>
      <c r="K30" s="143" t="s">
        <v>26</v>
      </c>
      <c r="L30" s="51">
        <v>0</v>
      </c>
    </row>
    <row r="31" spans="1:12" ht="16.350000000000001" customHeight="1" outlineLevel="1">
      <c r="A31" s="110" t="s">
        <v>124</v>
      </c>
      <c r="B31" s="144">
        <f>Inv.!D105</f>
        <v>0</v>
      </c>
      <c r="C31" s="143" t="s">
        <v>26</v>
      </c>
      <c r="D31" s="144">
        <f>Inv.!F105*0</f>
        <v>0</v>
      </c>
      <c r="E31" s="143" t="s">
        <v>26</v>
      </c>
      <c r="F31" s="144">
        <f>Inv.!I105</f>
        <v>0</v>
      </c>
      <c r="G31" s="143" t="s">
        <v>26</v>
      </c>
      <c r="H31" s="144">
        <f>Inv.!K105</f>
        <v>0</v>
      </c>
      <c r="I31" s="143" t="s">
        <v>26</v>
      </c>
      <c r="J31" s="144">
        <f>Inv.!M105</f>
        <v>0</v>
      </c>
      <c r="K31" s="143" t="s">
        <v>26</v>
      </c>
      <c r="L31" s="51">
        <f>Inv.!O105</f>
        <v>0</v>
      </c>
    </row>
    <row r="32" spans="1:12" ht="16.350000000000001" customHeight="1" outlineLevel="1">
      <c r="A32" s="110" t="s">
        <v>124</v>
      </c>
      <c r="B32" s="144">
        <f>Inv.!D106</f>
        <v>0</v>
      </c>
      <c r="C32" s="143" t="s">
        <v>26</v>
      </c>
      <c r="D32" s="144">
        <f>Inv.!F106</f>
        <v>0</v>
      </c>
      <c r="E32" s="143" t="s">
        <v>26</v>
      </c>
      <c r="F32" s="144">
        <f>Inv.!I106</f>
        <v>0</v>
      </c>
      <c r="G32" s="143" t="s">
        <v>26</v>
      </c>
      <c r="H32" s="144">
        <f>Inv.!K106</f>
        <v>0</v>
      </c>
      <c r="I32" s="143" t="s">
        <v>26</v>
      </c>
      <c r="J32" s="144">
        <f>Inv.!M106</f>
        <v>0</v>
      </c>
      <c r="K32" s="143" t="s">
        <v>26</v>
      </c>
      <c r="L32" s="51">
        <f>Inv.!O106</f>
        <v>0</v>
      </c>
    </row>
    <row r="33" spans="1:12" s="55" customFormat="1" ht="16.350000000000001" customHeight="1" outlineLevel="1" thickBot="1">
      <c r="A33" s="164" t="s">
        <v>80</v>
      </c>
      <c r="B33" s="166">
        <f>SUM(B26:B32)</f>
        <v>250498.8</v>
      </c>
      <c r="C33" s="166" t="s">
        <v>26</v>
      </c>
      <c r="D33" s="166">
        <f>SUM(D26:D32)</f>
        <v>0</v>
      </c>
      <c r="E33" s="166" t="s">
        <v>26</v>
      </c>
      <c r="F33" s="166">
        <f>SUM(F26:F32)</f>
        <v>0</v>
      </c>
      <c r="G33" s="166" t="s">
        <v>26</v>
      </c>
      <c r="H33" s="166">
        <f>SUM(H26:H32)</f>
        <v>0</v>
      </c>
      <c r="I33" s="166" t="s">
        <v>26</v>
      </c>
      <c r="J33" s="166">
        <f>SUM(J26:J32)</f>
        <v>0</v>
      </c>
      <c r="K33" s="166" t="s">
        <v>26</v>
      </c>
      <c r="L33" s="47">
        <f>SUM(L26:L32)</f>
        <v>250498.8</v>
      </c>
    </row>
    <row r="34" spans="1:12" ht="16.350000000000001" customHeight="1" thickTop="1" thickBot="1">
      <c r="A34" s="61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62"/>
    </row>
    <row r="35" spans="1:12" ht="16.350000000000001" customHeight="1" thickTop="1" thickBot="1">
      <c r="A35" s="58" t="s">
        <v>624</v>
      </c>
      <c r="B35" s="146">
        <f>B20+B33</f>
        <v>1003978.7999999998</v>
      </c>
      <c r="C35" s="59" t="s">
        <v>26</v>
      </c>
      <c r="D35" s="146">
        <f>D20+D33</f>
        <v>808377.818181818</v>
      </c>
      <c r="E35" s="59" t="s">
        <v>26</v>
      </c>
      <c r="F35" s="146">
        <f>F20+F33</f>
        <v>865170.15709090885</v>
      </c>
      <c r="G35" s="59" t="s">
        <v>26</v>
      </c>
      <c r="H35" s="146">
        <f>H20+H33</f>
        <v>923910.8384290908</v>
      </c>
      <c r="I35" s="59" t="s">
        <v>26</v>
      </c>
      <c r="J35" s="146">
        <f>J20+J33</f>
        <v>984655.0789579635</v>
      </c>
      <c r="K35" s="59" t="s">
        <v>26</v>
      </c>
      <c r="L35" s="60" t="s">
        <v>26</v>
      </c>
    </row>
    <row r="36" spans="1:12" ht="16.350000000000001" customHeight="1" thickTop="1">
      <c r="A36" s="55"/>
      <c r="B36" s="42"/>
      <c r="C36" s="42"/>
      <c r="D36" s="43"/>
      <c r="E36" s="43"/>
      <c r="F36" s="42"/>
      <c r="G36" s="42"/>
      <c r="H36" s="42"/>
      <c r="I36" s="42"/>
      <c r="J36" s="42"/>
      <c r="K36" s="42"/>
    </row>
    <row r="37" spans="1:12" ht="16.350000000000001" customHeight="1" outlineLevel="1" thickBot="1">
      <c r="A37" s="162" t="s">
        <v>625</v>
      </c>
      <c r="B37" s="169">
        <f>B7</f>
        <v>2025</v>
      </c>
      <c r="C37" s="169" t="s">
        <v>626</v>
      </c>
      <c r="D37" s="169">
        <f>D7</f>
        <v>2026</v>
      </c>
      <c r="E37" s="169" t="s">
        <v>626</v>
      </c>
      <c r="F37" s="169">
        <f>F7</f>
        <v>2027</v>
      </c>
      <c r="G37" s="169" t="s">
        <v>626</v>
      </c>
      <c r="H37" s="169">
        <f>H7</f>
        <v>2028</v>
      </c>
      <c r="I37" s="169" t="s">
        <v>626</v>
      </c>
      <c r="J37" s="169">
        <f>J7</f>
        <v>2029</v>
      </c>
      <c r="K37" s="169" t="s">
        <v>626</v>
      </c>
      <c r="L37" s="71" t="str">
        <f>L22</f>
        <v>Controllo</v>
      </c>
    </row>
    <row r="38" spans="1:12" ht="16.350000000000001" customHeight="1" outlineLevel="1" thickTop="1">
      <c r="A38" s="72" t="str">
        <f>'Plur. Gen. C.'!A10</f>
        <v>Raw materials and finished products</v>
      </c>
      <c r="B38" s="142">
        <f>('Plur. Gen. C.'!J18/365)*(365-'Plur. Gen. C.'!$AC$18)</f>
        <v>210974.4</v>
      </c>
      <c r="C38" s="142">
        <f>'Plur. Gen. C.'!J18-B38</f>
        <v>0</v>
      </c>
      <c r="D38" s="142">
        <f>('Plur. Gen. C.'!N18/365)*(365-'Plur. Gen. C.'!$AC$18)+C38</f>
        <v>226345.78909090912</v>
      </c>
      <c r="E38" s="170">
        <f>'Plur. Gen. C.'!N18-('Plur. Gen. C.'!N18/365)*(365-'Plur. Gen. C.'!$AC$18)</f>
        <v>0</v>
      </c>
      <c r="F38" s="142">
        <f>('Plur. Gen. C.'!R18/365)*(365-'Plur. Gen. C.'!$AC$18)+E38</f>
        <v>242247.64398545455</v>
      </c>
      <c r="G38" s="142">
        <f>'Plur. Gen. C.'!R18-('Plur. Gen. C.'!R18/365)*(365-'Plur. Gen. C.'!$AC$18)</f>
        <v>0</v>
      </c>
      <c r="H38" s="142">
        <f>('Plur. Gen. C.'!V18/365)*(365-'Plur. Gen. C.'!$AC$18)+G38</f>
        <v>258695.03476014544</v>
      </c>
      <c r="I38" s="142">
        <f>'Plur. Gen. C.'!V18-('Plur. Gen. C.'!V18/365)*(365-'Plur. Gen. C.'!$AC$18)</f>
        <v>0</v>
      </c>
      <c r="J38" s="142">
        <f>('Plur. Gen. C.'!Z18/365)*(365-'Plur. Gen. C.'!$AC$18)+I38</f>
        <v>275703.42210822989</v>
      </c>
      <c r="K38" s="142">
        <f>'Plur. Gen. C.'!Z18-('Plur. Gen. C.'!Z18/365)*(365-'Plur. Gen. C.'!$AC$18)</f>
        <v>0</v>
      </c>
      <c r="L38" s="48" t="s">
        <v>26</v>
      </c>
    </row>
    <row r="39" spans="1:12" ht="16.350000000000001" customHeight="1" outlineLevel="1">
      <c r="A39" s="72" t="str">
        <f>'Plur. Gen. C.'!A19</f>
        <v>Others and Disposable</v>
      </c>
      <c r="B39" s="142">
        <f>('Plur. Gen. C.'!J24/365)*(365-'Plur. Gen. C.'!$AC$24)</f>
        <v>2400</v>
      </c>
      <c r="C39" s="142">
        <f>'Plur. Gen. C.'!J24-B39</f>
        <v>0</v>
      </c>
      <c r="D39" s="142">
        <f>('Plur. Gen. C.'!N24/365)*(365-'Plur. Gen. C.'!$AC$24)+C39</f>
        <v>2568</v>
      </c>
      <c r="E39" s="170">
        <f>'Plur. Gen. C.'!N24-('Plur. Gen. C.'!N24/365)*(365-'Plur. Gen. C.'!$AC$24)</f>
        <v>0</v>
      </c>
      <c r="F39" s="142">
        <f>('Plur. Gen. C.'!R24/365)*(365-'Plur. Gen. C.'!$AC$24)+E39</f>
        <v>2696.4</v>
      </c>
      <c r="G39" s="170">
        <f>'Plur. Gen. C.'!R24-('Plur. Gen. C.'!R24/365)*(365-'Plur. Gen. C.'!$AC$24)</f>
        <v>0</v>
      </c>
      <c r="H39" s="142">
        <f>('Plur. Gen. C.'!V24/365)*(365-'Plur. Gen. C.'!$AC$24)+G39</f>
        <v>2831.2200000000003</v>
      </c>
      <c r="I39" s="170">
        <f>'Plur. Gen. C.'!V24-('Plur. Gen. C.'!V24/365)*(365-'Plur. Gen. C.'!$AC$24)</f>
        <v>0</v>
      </c>
      <c r="J39" s="142">
        <f>('Plur. Gen. C.'!Z24/365)*(365-'Plur. Gen. C.'!$AC$24)+I39</f>
        <v>2972.7809999999999</v>
      </c>
      <c r="K39" s="170">
        <f>'Plur. Gen. C.'!Z24-('Plur. Gen. C.'!Z24/365)*(365-'Plur. Gen. C.'!$AC$24)</f>
        <v>0</v>
      </c>
      <c r="L39" s="48" t="s">
        <v>26</v>
      </c>
    </row>
    <row r="40" spans="1:12" ht="16.350000000000001" customHeight="1" outlineLevel="1">
      <c r="A40" s="72" t="str">
        <f>'Plur. Gen. C.'!A29</f>
        <v>Sales costs</v>
      </c>
      <c r="B40" s="142">
        <f>('Plur. Gen. C.'!J36/365)*(365-'Plur. Gen. C.'!$AC$36)</f>
        <v>22384.103999999999</v>
      </c>
      <c r="C40" s="142">
        <f>'Plur. Gen. C.'!J36-B40</f>
        <v>0</v>
      </c>
      <c r="D40" s="142">
        <f>('Plur. Gen. C.'!N36/365)*(365-'Plur. Gen. C.'!$AC$36)+C40</f>
        <v>22922.10261818182</v>
      </c>
      <c r="E40" s="170">
        <f>'Plur. Gen. C.'!N36-('Plur. Gen. C.'!N36/365)*(365-'Plur. Gen. C.'!$AC$36)</f>
        <v>0</v>
      </c>
      <c r="F40" s="142">
        <f>('Plur. Gen. C.'!R36/365)*(365-'Plur. Gen. C.'!$AC$36)+E40</f>
        <v>24078.667539490911</v>
      </c>
      <c r="G40" s="170">
        <f>'Plur. Gen. C.'!R36-('Plur. Gen. C.'!R36/365)*(365-'Plur. Gen. C.'!$AC$36)</f>
        <v>0</v>
      </c>
      <c r="H40" s="142">
        <f>('Plur. Gen. C.'!V36/365)*(365-'Plur. Gen. C.'!$AC$36)+G40</f>
        <v>24654.326216605092</v>
      </c>
      <c r="I40" s="170">
        <f>'Plur. Gen. C.'!V36-('Plur. Gen. C.'!V36/365)*(365-'Plur. Gen. C.'!$AC$36)</f>
        <v>0</v>
      </c>
      <c r="J40" s="142">
        <f>('Plur. Gen. C.'!Z36/365)*(365-'Plur. Gen. C.'!$AC$36)+I40</f>
        <v>25249.619773788047</v>
      </c>
      <c r="K40" s="170">
        <f>'Plur. Gen. C.'!Z36-('Plur. Gen. C.'!Z36/365)*(365-'Plur. Gen. C.'!$AC$36)</f>
        <v>0</v>
      </c>
      <c r="L40" s="48" t="s">
        <v>26</v>
      </c>
    </row>
    <row r="41" spans="1:12" ht="16.350000000000001" customHeight="1" outlineLevel="1">
      <c r="A41" s="72" t="str">
        <f>'Plur. Gen. C.'!A37</f>
        <v>Utilities</v>
      </c>
      <c r="B41" s="142">
        <f>('Plur. Gen. C.'!J42/365)*(365-'Plur. Gen. C.'!$AC$42)</f>
        <v>28200.000000000004</v>
      </c>
      <c r="C41" s="142">
        <f>'Plur. Gen. C.'!J42-B41</f>
        <v>0</v>
      </c>
      <c r="D41" s="142">
        <f>('Plur. Gen. C.'!N42/365)*(365-'Plur. Gen. C.'!$AC$42)+C41</f>
        <v>29922.000000000004</v>
      </c>
      <c r="E41" s="170">
        <f>'Plur. Gen. C.'!N42-('Plur. Gen. C.'!N42/365)*(365-'Plur. Gen. C.'!$AC$42)</f>
        <v>0</v>
      </c>
      <c r="F41" s="142">
        <f>('Plur. Gen. C.'!R42/365)*(365-'Plur. Gen. C.'!$AC$42)+E41</f>
        <v>31238.1</v>
      </c>
      <c r="G41" s="170">
        <f>'Plur. Gen. C.'!R42-('Plur. Gen. C.'!R42/365)*(365-'Plur. Gen. C.'!$AC$42)</f>
        <v>0</v>
      </c>
      <c r="H41" s="142">
        <f>('Plur. Gen. C.'!V42/365)*(365-'Plur. Gen. C.'!$AC$42)+G41</f>
        <v>32620.005000000005</v>
      </c>
      <c r="I41" s="170">
        <f>'Plur. Gen. C.'!V42-('Plur. Gen. C.'!V42/365)*(365-'Plur. Gen. C.'!$AC$42)</f>
        <v>0</v>
      </c>
      <c r="J41" s="142">
        <f>('Plur. Gen. C.'!Z42/365)*(365-'Plur. Gen. C.'!$AC$42)+I41</f>
        <v>34071.005250000002</v>
      </c>
      <c r="K41" s="170">
        <f>'Plur. Gen. C.'!Z42-('Plur. Gen. C.'!Z42/365)*(365-'Plur. Gen. C.'!$AC$42)</f>
        <v>0</v>
      </c>
      <c r="L41" s="48" t="s">
        <v>26</v>
      </c>
    </row>
    <row r="42" spans="1:12" ht="16.350000000000001" customHeight="1" outlineLevel="1">
      <c r="A42" s="72" t="str">
        <f>'Plur. Gen. C.'!A43</f>
        <v>Marketing</v>
      </c>
      <c r="B42" s="142">
        <f>('Plur. Gen. C.'!J48/365)*(365-'Plur. Gen. C.'!$AC$48)</f>
        <v>12000.000000000002</v>
      </c>
      <c r="C42" s="142">
        <f>'Plur. Gen. C.'!J48-B42</f>
        <v>0</v>
      </c>
      <c r="D42" s="142">
        <f>('Plur. Gen. C.'!N48/365)*(365-'Plur. Gen. C.'!$AC$48)+C42</f>
        <v>12000.000000000002</v>
      </c>
      <c r="E42" s="170">
        <f>'Plur. Gen. C.'!N48-('Plur. Gen. C.'!N48/365)*(365-'Plur. Gen. C.'!$AC$48)</f>
        <v>0</v>
      </c>
      <c r="F42" s="142">
        <f>('Plur. Gen. C.'!R48/365)*(365-'Plur. Gen. C.'!$AC$48)+E42</f>
        <v>14400</v>
      </c>
      <c r="G42" s="170">
        <f>'Plur. Gen. C.'!R48-('Plur. Gen. C.'!R48/365)*(365-'Plur. Gen. C.'!$AC$48)</f>
        <v>0</v>
      </c>
      <c r="H42" s="142">
        <f>('Plur. Gen. C.'!V48/365)*(365-'Plur. Gen. C.'!$AC$48)+G42</f>
        <v>14400</v>
      </c>
      <c r="I42" s="170">
        <f>'Plur. Gen. C.'!V48-('Plur. Gen. C.'!V48/365)*(365-'Plur. Gen. C.'!$AC$48)</f>
        <v>0</v>
      </c>
      <c r="J42" s="142">
        <f>('Plur. Gen. C.'!Z48/365)*(365-'Plur. Gen. C.'!$AC$48)+I42</f>
        <v>14400</v>
      </c>
      <c r="K42" s="170">
        <f>'Plur. Gen. C.'!Z48-('Plur. Gen. C.'!Z48/365)*(365-'Plur. Gen. C.'!$AC$48)</f>
        <v>0</v>
      </c>
      <c r="L42" s="48" t="s">
        <v>26</v>
      </c>
    </row>
    <row r="43" spans="1:12" ht="16.350000000000001" customHeight="1" outlineLevel="1">
      <c r="A43" s="72" t="str">
        <f>'Plur. Gen. C.'!A49</f>
        <v>Banking costs</v>
      </c>
      <c r="B43" s="142">
        <f>('Plur. Gen. C.'!J52/365)*(365-'Plur. Gen. C.'!$AC$52)</f>
        <v>1080</v>
      </c>
      <c r="C43" s="142">
        <f>'Plur. Gen. C.'!J52-B43</f>
        <v>0</v>
      </c>
      <c r="D43" s="142">
        <f>('Plur. Gen. C.'!N52/365)*(365-'Plur. Gen. C.'!$AC$52)+C43</f>
        <v>1080</v>
      </c>
      <c r="E43" s="170">
        <f>'Plur. Gen. C.'!N52-('Plur. Gen. C.'!N52/365)*(365-'Plur. Gen. C.'!$AC$52)</f>
        <v>0</v>
      </c>
      <c r="F43" s="142">
        <f>('Plur. Gen. C.'!R52/365)*(365-'Plur. Gen. C.'!$AC$52)+E43</f>
        <v>1080</v>
      </c>
      <c r="G43" s="170">
        <f>'Plur. Gen. C.'!R52-('Plur. Gen. C.'!R52/365)*(365-'Plur. Gen. C.'!$AC$52)</f>
        <v>0</v>
      </c>
      <c r="H43" s="142">
        <f>('Plur. Gen. C.'!V52/365)*(365-'Plur. Gen. C.'!$AC$52)+G43</f>
        <v>1080</v>
      </c>
      <c r="I43" s="170">
        <f>'Plur. Gen. C.'!V52-('Plur. Gen. C.'!V52/365)*(365-'Plur. Gen. C.'!$AC$52)</f>
        <v>0</v>
      </c>
      <c r="J43" s="142">
        <f>('Plur. Gen. C.'!Z52/365)*(365-'Plur. Gen. C.'!$AC$52)+I43</f>
        <v>1080</v>
      </c>
      <c r="K43" s="170">
        <f>'Plur. Gen. C.'!Z52-('Plur. Gen. C.'!Z52/365)*(365-'Plur. Gen. C.'!$AC$52)</f>
        <v>0</v>
      </c>
      <c r="L43" s="48"/>
    </row>
    <row r="44" spans="1:12" ht="16.350000000000001" customHeight="1" outlineLevel="1">
      <c r="A44" s="72" t="str">
        <f>'Plur. Gen. C.'!A57</f>
        <v>General costs</v>
      </c>
      <c r="B44" s="142">
        <f>('Plur. Gen. C.'!J61/365)*(365-'Plur. Gen. C.'!$AC$61)</f>
        <v>3000.0000000000005</v>
      </c>
      <c r="C44" s="142">
        <f>'Plur. Gen. C.'!J61-B44</f>
        <v>0</v>
      </c>
      <c r="D44" s="142">
        <f>('Plur. Gen. C.'!N61/365)*(365-'Plur. Gen. C.'!$AC$61)+C44</f>
        <v>3000.0000000000005</v>
      </c>
      <c r="E44" s="170">
        <f>'Plur. Gen. C.'!N61-('Plur. Gen. C.'!N61/365)*(365-'Plur. Gen. C.'!$AC$61)</f>
        <v>0</v>
      </c>
      <c r="F44" s="142">
        <f>('Plur. Gen. C.'!R61/365)*(365-'Plur. Gen. C.'!$AC$61)+E44</f>
        <v>3000.0000000000005</v>
      </c>
      <c r="G44" s="170">
        <f>'Plur. Gen. C.'!R61-('Plur. Gen. C.'!R61/365)*(365-'Plur. Gen. C.'!$AC$61)</f>
        <v>0</v>
      </c>
      <c r="H44" s="142">
        <f>('Plur. Gen. C.'!V61/365)*(365-'Plur. Gen. C.'!$AC$61)+G44</f>
        <v>3000.0000000000005</v>
      </c>
      <c r="I44" s="170">
        <f>'Plur. Gen. C.'!V61-('Plur. Gen. C.'!V61/365)*(365-'Plur. Gen. C.'!$AC$61)</f>
        <v>0</v>
      </c>
      <c r="J44" s="142">
        <f>('Plur. Gen. C.'!Z61/365)*(365-'Plur. Gen. C.'!$AC$61)+I44</f>
        <v>3000.0000000000005</v>
      </c>
      <c r="K44" s="170">
        <f>'Plur. Gen. C.'!Z61-('Plur. Gen. C.'!Z61/365)*(365-'Plur. Gen. C.'!$AC$61)</f>
        <v>0</v>
      </c>
      <c r="L44" s="48"/>
    </row>
    <row r="45" spans="1:12" ht="16.350000000000001" customHeight="1" outlineLevel="1">
      <c r="A45" s="72" t="str">
        <f>'Plur. Gen. C.'!A62</f>
        <v>Insurances</v>
      </c>
      <c r="B45" s="142">
        <f>('Plur. Gen. C.'!J65/365)*(365-'Plur. Gen. C.'!$AC$65)</f>
        <v>2000</v>
      </c>
      <c r="C45" s="142">
        <f>'Plur. Gen. C.'!J65-B45</f>
        <v>0</v>
      </c>
      <c r="D45" s="142">
        <f>('Plur. Gen. C.'!N65/365)*(365-'Plur. Gen. C.'!$AC$65)+C45</f>
        <v>2000</v>
      </c>
      <c r="E45" s="170">
        <f>'Plur. Gen. C.'!N65-('Plur. Gen. C.'!N65/365)*(365-'Plur. Gen. C.'!$AC$65)</f>
        <v>0</v>
      </c>
      <c r="F45" s="142">
        <f>('Plur. Gen. C.'!R65/365)*(365-'Plur. Gen. C.'!$AC$65)+E45</f>
        <v>2000</v>
      </c>
      <c r="G45" s="170">
        <f>'Plur. Gen. C.'!R65-('Plur. Gen. C.'!R65/365)*(365-'Plur. Gen. C.'!$AC$65)</f>
        <v>0</v>
      </c>
      <c r="H45" s="142">
        <f>('Plur. Gen. C.'!V65/365)*(365-'Plur. Gen. C.'!$AC$65)+G45</f>
        <v>2000</v>
      </c>
      <c r="I45" s="170">
        <f>'Plur. Gen. C.'!V65-('Plur. Gen. C.'!V65/365)*(365-'Plur. Gen. C.'!$AC$65)</f>
        <v>0</v>
      </c>
      <c r="J45" s="142">
        <f>('Plur. Gen. C.'!Z65/365)*(365-'Plur. Gen. C.'!$AC$65)+I45</f>
        <v>2000</v>
      </c>
      <c r="K45" s="170">
        <f>'Plur. Gen. C.'!Z65-('Plur. Gen. C.'!Z65/365)*(365-'Plur. Gen. C.'!$AC$65)</f>
        <v>0</v>
      </c>
      <c r="L45" s="48"/>
    </row>
    <row r="46" spans="1:12" ht="16.350000000000001" customHeight="1" outlineLevel="1">
      <c r="A46" s="72" t="str">
        <f>'Plur. Gen. C.'!A66</f>
        <v>Consultants</v>
      </c>
      <c r="B46" s="142">
        <f>('Plur. Gen. C.'!J71/365)*(365-'Plur. Gen. C.'!$AC$71)</f>
        <v>10200</v>
      </c>
      <c r="C46" s="142">
        <f>'Plur. Gen. C.'!J71-B46</f>
        <v>0</v>
      </c>
      <c r="D46" s="142">
        <f>('Plur. Gen. C.'!N71/365)*(365-'Plur. Gen. C.'!$AC$71)+C46</f>
        <v>13999.999999999998</v>
      </c>
      <c r="E46" s="170">
        <f>'Plur. Gen. C.'!N71-('Plur. Gen. C.'!N71/365)*(365-'Plur. Gen. C.'!$AC$71)</f>
        <v>0</v>
      </c>
      <c r="F46" s="142">
        <f>('Plur. Gen. C.'!R71/365)*(365-'Plur. Gen. C.'!$AC$71)+E46</f>
        <v>17000</v>
      </c>
      <c r="G46" s="170">
        <f>'Plur. Gen. C.'!R71-('Plur. Gen. C.'!R71/365)*(365-'Plur. Gen. C.'!$AC$71)</f>
        <v>0</v>
      </c>
      <c r="H46" s="142">
        <f>('Plur. Gen. C.'!V71/365)*(365-'Plur. Gen. C.'!$AC$71)+G46</f>
        <v>17000</v>
      </c>
      <c r="I46" s="170">
        <f>'Plur. Gen. C.'!V71-('Plur. Gen. C.'!V71/365)*(365-'Plur. Gen. C.'!$AC$71)</f>
        <v>0</v>
      </c>
      <c r="J46" s="142">
        <f>('Plur. Gen. C.'!Z71/365)*(365-'Plur. Gen. C.'!$AC$71)+I46</f>
        <v>20400</v>
      </c>
      <c r="K46" s="170">
        <f>'Plur. Gen. C.'!Z71-('Plur. Gen. C.'!Z71/365)*(365-'Plur. Gen. C.'!$AC$71)</f>
        <v>0</v>
      </c>
      <c r="L46" s="48" t="s">
        <v>26</v>
      </c>
    </row>
    <row r="47" spans="1:12" ht="16.350000000000001" customHeight="1" outlineLevel="1">
      <c r="A47" s="72" t="str">
        <f>'Plur. Gen. C.'!A72</f>
        <v>Third party assets</v>
      </c>
      <c r="B47" s="142">
        <f>('Plur. Gen. C.'!J77/365)*(365-'Plur. Gen. C.'!$AC$77)</f>
        <v>42000</v>
      </c>
      <c r="C47" s="142">
        <f>'Plur. Gen. C.'!J77-B47</f>
        <v>0</v>
      </c>
      <c r="D47" s="142">
        <f>('Plur. Gen. C.'!N77/365)*(365-'Plur. Gen. C.'!$AC$77)+C47</f>
        <v>42000</v>
      </c>
      <c r="E47" s="170">
        <f>'Plur. Gen. C.'!N77-('Plur. Gen. C.'!N77/365)*(365-'Plur. Gen. C.'!$AC$77)</f>
        <v>0</v>
      </c>
      <c r="F47" s="142">
        <f>('Plur. Gen. C.'!R77/365)*(365-'Plur. Gen. C.'!$AC$77)+E47</f>
        <v>50400</v>
      </c>
      <c r="G47" s="170">
        <f>'Plur. Gen. C.'!R77-('Plur. Gen. C.'!R77/365)*(365-'Plur. Gen. C.'!$AC$77)</f>
        <v>0</v>
      </c>
      <c r="H47" s="142">
        <f>('Plur. Gen. C.'!V77/365)*(365-'Plur. Gen. C.'!$AC$77)+G47</f>
        <v>50400</v>
      </c>
      <c r="I47" s="170">
        <f>'Plur. Gen. C.'!V77-('Plur. Gen. C.'!V77/365)*(365-'Plur. Gen. C.'!$AC$77)</f>
        <v>0</v>
      </c>
      <c r="J47" s="142">
        <f>('Plur. Gen. C.'!Z77/365)*(365-'Plur. Gen. C.'!$AC$77)+I47</f>
        <v>50400</v>
      </c>
      <c r="K47" s="170">
        <f>'Plur. Gen. C.'!Z77-('Plur. Gen. C.'!Z77/365)*(365-'Plur. Gen. C.'!$AC$77)</f>
        <v>0</v>
      </c>
      <c r="L47" s="48"/>
    </row>
    <row r="48" spans="1:12" ht="16.350000000000001" customHeight="1" outlineLevel="1">
      <c r="A48" s="72" t="str">
        <f>'Plur. Gen. C.'!A78</f>
        <v>Others general costs</v>
      </c>
      <c r="B48" s="142">
        <f>('Plur. Gen. C.'!J81/365)*(365-'Plur. Gen. C.'!$AC$81)</f>
        <v>7534.8</v>
      </c>
      <c r="C48" s="142">
        <f>'Plur. Gen. C.'!J81-B48</f>
        <v>0</v>
      </c>
      <c r="D48" s="142">
        <f>('Plur. Gen. C.'!N81/365)*(365-'Plur. Gen. C.'!$AC$81)+C48</f>
        <v>8083.7781818181811</v>
      </c>
      <c r="E48" s="170">
        <f>'Plur. Gen. C.'!N81-('Plur. Gen. C.'!N81/365)*(365-'Plur. Gen. C.'!$AC$81)</f>
        <v>0</v>
      </c>
      <c r="F48" s="142">
        <f>('Plur. Gen. C.'!R81/365)*(365-'Plur. Gen. C.'!$AC$81)+E48</f>
        <v>8651.7015709090902</v>
      </c>
      <c r="G48" s="170">
        <f>'Plur. Gen. C.'!R81-('Plur. Gen. C.'!R81/365)*(365-'Plur. Gen. C.'!$AC$81)</f>
        <v>0</v>
      </c>
      <c r="H48" s="142">
        <f>('Plur. Gen. C.'!V81/365)*(365-'Plur. Gen. C.'!$AC$81)+G48</f>
        <v>9239.1083842909102</v>
      </c>
      <c r="I48" s="170">
        <f>'Plur. Gen. C.'!V81-('Plur. Gen. C.'!V81/365)*(365-'Plur. Gen. C.'!$AC$81)</f>
        <v>0</v>
      </c>
      <c r="J48" s="142">
        <f>('Plur. Gen. C.'!Z81/365)*(365-'Plur. Gen. C.'!$AC$81)+I48</f>
        <v>9846.5507895796381</v>
      </c>
      <c r="K48" s="170">
        <f>'Plur. Gen. C.'!Z81-('Plur. Gen. C.'!Z81/365)*(365-'Plur. Gen. C.'!$AC$81)</f>
        <v>0</v>
      </c>
      <c r="L48" s="48" t="s">
        <v>26</v>
      </c>
    </row>
    <row r="49" spans="1:12" ht="16.350000000000001" customHeight="1" outlineLevel="1">
      <c r="A49" s="72" t="str">
        <f>'Plur. Gen. C.'!A86</f>
        <v>Workers</v>
      </c>
      <c r="B49" s="142">
        <f>('Plur. Gen. C.'!J93/365)*(365-'Plur. Gen. C.'!$AC$93)</f>
        <v>162324.65</v>
      </c>
      <c r="C49" s="142">
        <f>'Plur. Gen. C.'!J93-B49</f>
        <v>0</v>
      </c>
      <c r="D49" s="142">
        <f>('Plur. Gen. C.'!N93/365)*(365-'Plur. Gen. C.'!$AC$93)+C49</f>
        <v>178557.11500000005</v>
      </c>
      <c r="E49" s="170">
        <f>'Plur. Gen. C.'!P93-('Plur. Gen. C.'!P93/365)*(365-'Plur. Gen. C.'!$AC$93)</f>
        <v>0</v>
      </c>
      <c r="F49" s="142">
        <f>('Plur. Gen. C.'!R93/365)*(365-'Plur. Gen. C.'!$AC$93)+E49</f>
        <v>187484.97075000001</v>
      </c>
      <c r="G49" s="170">
        <f>'Plur. Gen. C.'!R93-('Plur. Gen. C.'!R93/365)*(365-'Plur. Gen. C.'!$AC$93)</f>
        <v>0</v>
      </c>
      <c r="H49" s="142">
        <f>('Plur. Gen. C.'!V93/365)*(365-'Plur. Gen. C.'!$AC$93)+G49</f>
        <v>196859.21928750002</v>
      </c>
      <c r="I49" s="170">
        <f>'Plur. Gen. C.'!V93-('Plur. Gen. C.'!V93/365)*(365-'Plur. Gen. C.'!$AC$93)</f>
        <v>0</v>
      </c>
      <c r="J49" s="142">
        <f>('Plur. Gen. C.'!Z93/365)*(365-'Plur. Gen. C.'!$AC$93)+I49</f>
        <v>206702.18025187499</v>
      </c>
      <c r="K49" s="170">
        <f>'Plur. Gen. C.'!Z93-('Plur. Gen. C.'!Z93/365)*(365-'Plur. Gen. C.'!$AC$93)</f>
        <v>0</v>
      </c>
      <c r="L49" s="48" t="s">
        <v>26</v>
      </c>
    </row>
    <row r="50" spans="1:12" ht="16.350000000000001" customHeight="1" outlineLevel="1">
      <c r="A50" s="72" t="str">
        <f>'Plur. Gen. C.'!A96</f>
        <v>Amortization</v>
      </c>
      <c r="B50" s="142">
        <f>('Plur. Gen. C.'!J101/365)*(365-'Plur. Gen. C.'!$AC$101)</f>
        <v>35785.542857142857</v>
      </c>
      <c r="C50" s="142">
        <f>'Plur. Gen. C.'!J101-B50</f>
        <v>0</v>
      </c>
      <c r="D50" s="142">
        <f>('Plur. Gen. C.'!N101/365)*(365-'Plur. Gen. C.'!$AC$101)+C50</f>
        <v>35785.542857142857</v>
      </c>
      <c r="E50" s="170">
        <f>'Plur. Gen. C.'!N101-('Plur. Gen. C.'!N101/365)*(365-'Plur. Gen. C.'!$AC$101)</f>
        <v>0</v>
      </c>
      <c r="F50" s="142">
        <f>('Plur. Gen. C.'!R101/365)*(365-'Plur. Gen. C.'!$AC$101)+E50</f>
        <v>35785.542857142857</v>
      </c>
      <c r="G50" s="170">
        <f>'Plur. Gen. C.'!R101-('Plur. Gen. C.'!R101/365)*(365-'Plur. Gen. C.'!$AC$101)</f>
        <v>0</v>
      </c>
      <c r="H50" s="142">
        <f>('Plur. Gen. C.'!V101/365)*(365-'Plur. Gen. C.'!$AC$101)+G50</f>
        <v>35785.542857142857</v>
      </c>
      <c r="I50" s="170">
        <f>'Plur. Gen. C.'!V101-('Plur. Gen. C.'!V101/365)*(365-'Plur. Gen. C.'!$AC$101)</f>
        <v>0</v>
      </c>
      <c r="J50" s="142">
        <f>('Plur. Gen. C.'!Z101/365)*(365-'Plur. Gen. C.'!$AC$101)+I50</f>
        <v>35785.542857142857</v>
      </c>
      <c r="K50" s="170">
        <f>'Plur. Gen. C.'!Z101-('Plur. Gen. C.'!Z101/365)*(365-'Plur. Gen. C.'!$AC$101)</f>
        <v>0</v>
      </c>
      <c r="L50" s="48" t="s">
        <v>26</v>
      </c>
    </row>
    <row r="51" spans="1:12" ht="16.350000000000001" customHeight="1" outlineLevel="1">
      <c r="A51" s="72" t="str">
        <f>'Plur. Gen. C.'!A102</f>
        <v>Depreciation</v>
      </c>
      <c r="B51" s="142">
        <f>('Plur. Gen. C.'!J105/365)*(365-'Plur. Gen. C.'!$AC$105)</f>
        <v>0</v>
      </c>
      <c r="C51" s="142">
        <f>'Plur. Gen. C.'!J105-B51</f>
        <v>0</v>
      </c>
      <c r="D51" s="142">
        <f>('Plur. Gen. C.'!N105/365)*(365-'Plur. Gen. C.'!$AC$105)+C51</f>
        <v>0</v>
      </c>
      <c r="E51" s="170">
        <f>'Plur. Gen. C.'!N105-('Plur. Gen. C.'!N105/365)*(365-'Plur. Gen. C.'!$AC$105)</f>
        <v>0</v>
      </c>
      <c r="F51" s="142">
        <f>('Plur. Gen. C.'!R105/365)*(365-'Plur. Gen. C.'!$AC$105)+E51</f>
        <v>0</v>
      </c>
      <c r="G51" s="170">
        <f>'Plur. Gen. C.'!R105-('Plur. Gen. C.'!R105/365)*(365-'Plur. Gen. C.'!$AC$105)</f>
        <v>0</v>
      </c>
      <c r="H51" s="142">
        <f>('Plur. Gen. C.'!V105/365)*(365-'Plur. Gen. C.'!$AC$105)+G51</f>
        <v>0</v>
      </c>
      <c r="I51" s="170">
        <f>'Plur. Gen. C.'!V105-('Plur. Gen. C.'!V105/365)*(365-'Plur. Gen. C.'!$AC$105)</f>
        <v>0</v>
      </c>
      <c r="J51" s="142">
        <f>('Plur. Gen. C.'!Z105/365)*(365-'Plur. Gen. C.'!$AC$105)+I51</f>
        <v>0</v>
      </c>
      <c r="K51" s="170">
        <f>'Plur. Gen. C.'!Z105-('Plur. Gen. C.'!Z105/365)*(365-'Plur. Gen. C.'!$AC$105)</f>
        <v>0</v>
      </c>
      <c r="L51" s="48" t="s">
        <v>26</v>
      </c>
    </row>
    <row r="52" spans="1:12" ht="16.350000000000001" customHeight="1" outlineLevel="1">
      <c r="A52" s="72" t="str">
        <f>'Plur. Gen. C.'!A110</f>
        <v>Financials and taxation</v>
      </c>
      <c r="B52" s="142">
        <f>('Plur. Gen. C.'!J118/365)*(365-'Plur. Gen. C.'!$AC$118)</f>
        <v>66220.573897402544</v>
      </c>
      <c r="C52" s="142">
        <f>'Plur. Gen. C.'!J118-B52</f>
        <v>0</v>
      </c>
      <c r="D52" s="142">
        <f>('Plur. Gen. C.'!N118/365)*(365-'Plur. Gen. C.'!$AC$118)</f>
        <v>71332.266111038945</v>
      </c>
      <c r="E52" s="142">
        <f>'Plur. Gen. C.'!N118-D52</f>
        <v>0</v>
      </c>
      <c r="F52" s="142">
        <f>('Plur. Gen. C.'!R118/365)*(365-'Plur. Gen. C.'!$AC$118)</f>
        <v>75992.361315518938</v>
      </c>
      <c r="G52" s="142">
        <v>0</v>
      </c>
      <c r="H52" s="142">
        <f>('Plur. Gen. C.'!V118/365)*(365-'Plur. Gen. C.'!$AC$118)</f>
        <v>85231.700835540862</v>
      </c>
      <c r="I52" s="142">
        <v>0</v>
      </c>
      <c r="J52" s="142">
        <f>('Plur. Gen. C.'!Z118/365)*(365-'Plur. Gen. C.'!$AC$118)-'Plur. Gen. C.'!X118+I52</f>
        <v>93714.261869592112</v>
      </c>
      <c r="K52" s="142">
        <v>0</v>
      </c>
      <c r="L52" s="48" t="s">
        <v>26</v>
      </c>
    </row>
    <row r="53" spans="1:12" ht="16.350000000000001" customHeight="1" outlineLevel="1" thickBot="1">
      <c r="A53" s="117" t="s">
        <v>627</v>
      </c>
      <c r="B53" s="166">
        <f>-SUM(B38:B52)</f>
        <v>-606104.07075454539</v>
      </c>
      <c r="C53" s="166">
        <f>SUM(C38:C52)</f>
        <v>0</v>
      </c>
      <c r="D53" s="166">
        <f>-SUM(D38:D52)</f>
        <v>-649596.59385909105</v>
      </c>
      <c r="E53" s="166">
        <f>SUM(E38:E52)</f>
        <v>0</v>
      </c>
      <c r="F53" s="166">
        <f>-SUM(F38:F52)</f>
        <v>-696055.38801851636</v>
      </c>
      <c r="G53" s="166">
        <f>SUM(G38:G52)</f>
        <v>0</v>
      </c>
      <c r="H53" s="166">
        <f>-SUM(H38:H52)</f>
        <v>-733796.15734122519</v>
      </c>
      <c r="I53" s="166">
        <f>SUM(I38:I52)</f>
        <v>0</v>
      </c>
      <c r="J53" s="166">
        <f>-SUM(J38:J52)</f>
        <v>-775325.36390020757</v>
      </c>
      <c r="K53" s="166">
        <f>SUM(K38:K52)</f>
        <v>0</v>
      </c>
      <c r="L53" s="48" t="s">
        <v>26</v>
      </c>
    </row>
    <row r="54" spans="1:12" ht="16.350000000000001" customHeight="1" outlineLevel="1" thickTop="1">
      <c r="A54" s="55"/>
    </row>
    <row r="55" spans="1:12" ht="16.350000000000001" customHeight="1" outlineLevel="1" thickBot="1">
      <c r="A55" s="162" t="s">
        <v>82</v>
      </c>
      <c r="B55" s="157" t="s">
        <v>628</v>
      </c>
      <c r="C55" s="157" t="s">
        <v>629</v>
      </c>
      <c r="D55" s="157" t="s">
        <v>628</v>
      </c>
      <c r="E55" s="157" t="s">
        <v>629</v>
      </c>
      <c r="F55" s="157" t="s">
        <v>628</v>
      </c>
      <c r="G55" s="157" t="s">
        <v>629</v>
      </c>
      <c r="H55" s="157" t="s">
        <v>628</v>
      </c>
      <c r="I55" s="157" t="s">
        <v>629</v>
      </c>
      <c r="J55" s="157" t="s">
        <v>628</v>
      </c>
      <c r="K55" s="157" t="s">
        <v>629</v>
      </c>
      <c r="L55" s="47" t="str">
        <f>L22</f>
        <v>Controllo</v>
      </c>
    </row>
    <row r="56" spans="1:12" ht="16.350000000000001" customHeight="1" outlineLevel="1" thickTop="1">
      <c r="A56" s="53" t="s">
        <v>82</v>
      </c>
      <c r="B56" s="47">
        <f>(SUM(B38:B52)-B43-B45-B47-B49)*0.18</f>
        <v>71765.895735818165</v>
      </c>
      <c r="C56" s="47">
        <f>C53*0.21</f>
        <v>0</v>
      </c>
      <c r="D56" s="47">
        <f>(SUM(D38:D52)-D43-D45-D47-D49)*0.18</f>
        <v>76672.706194636383</v>
      </c>
      <c r="E56" s="47">
        <f t="shared" ref="E56:K56" si="2">E53*0.21</f>
        <v>0</v>
      </c>
      <c r="F56" s="47">
        <f>(SUM(F38:F52)-F43-F45-F47-F49)*0.18</f>
        <v>81916.275108332949</v>
      </c>
      <c r="G56" s="47">
        <f t="shared" si="2"/>
        <v>0</v>
      </c>
      <c r="H56" s="47">
        <f>(SUM(H38:H52)-H43-H45-H47-H49)*0.18</f>
        <v>87022.248849670534</v>
      </c>
      <c r="I56" s="47">
        <f t="shared" si="2"/>
        <v>0</v>
      </c>
      <c r="J56" s="47">
        <f>(SUM(J38:J52)-J43-J45-J47-J49)*0.18</f>
        <v>92725.773056699865</v>
      </c>
      <c r="K56" s="47">
        <f t="shared" si="2"/>
        <v>0</v>
      </c>
      <c r="L56" s="47" t="s">
        <v>26</v>
      </c>
    </row>
    <row r="57" spans="1:12" ht="16.350000000000001" customHeight="1" outlineLevel="1">
      <c r="A57" s="55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</row>
    <row r="58" spans="1:12" ht="16.350000000000001" customHeight="1" outlineLevel="1" thickBot="1">
      <c r="A58" s="116" t="s">
        <v>630</v>
      </c>
      <c r="B58" s="169">
        <f>B37</f>
        <v>2025</v>
      </c>
      <c r="C58" s="109" t="s">
        <v>26</v>
      </c>
      <c r="D58" s="169">
        <f>D37</f>
        <v>2026</v>
      </c>
      <c r="E58" s="109" t="s">
        <v>26</v>
      </c>
      <c r="F58" s="169">
        <f>F37</f>
        <v>2027</v>
      </c>
      <c r="G58" s="109" t="s">
        <v>26</v>
      </c>
      <c r="H58" s="169">
        <f>H37</f>
        <v>2028</v>
      </c>
      <c r="I58" s="109" t="s">
        <v>26</v>
      </c>
      <c r="J58" s="169">
        <f>J37</f>
        <v>2029</v>
      </c>
      <c r="K58" s="109" t="s">
        <v>26</v>
      </c>
      <c r="L58" s="73" t="s">
        <v>26</v>
      </c>
    </row>
    <row r="59" spans="1:12" ht="16.350000000000001" customHeight="1" outlineLevel="1" thickTop="1">
      <c r="A59" s="46" t="s">
        <v>631</v>
      </c>
      <c r="B59" s="142">
        <f>-'C.E.'!C21</f>
        <v>-16232.465</v>
      </c>
      <c r="C59" s="142" t="s">
        <v>26</v>
      </c>
      <c r="D59" s="142">
        <f>-'C.E.'!D21</f>
        <v>-17855.711500000005</v>
      </c>
      <c r="E59" s="142" t="s">
        <v>26</v>
      </c>
      <c r="F59" s="142">
        <f>-'C.E.'!E21</f>
        <v>-18748.497075000003</v>
      </c>
      <c r="G59" s="142" t="s">
        <v>26</v>
      </c>
      <c r="H59" s="142">
        <f>-'C.E.'!F21</f>
        <v>-19685.921928750005</v>
      </c>
      <c r="I59" s="142" t="s">
        <v>26</v>
      </c>
      <c r="J59" s="142">
        <f>-'C.E.'!G21</f>
        <v>-20670.218025187503</v>
      </c>
      <c r="K59" s="142" t="s">
        <v>26</v>
      </c>
      <c r="L59" s="52" t="s">
        <v>26</v>
      </c>
    </row>
    <row r="60" spans="1:12" ht="16.350000000000001" customHeight="1" outlineLevel="1">
      <c r="A60" s="46" t="str">
        <f>A51</f>
        <v>Depreciation</v>
      </c>
      <c r="B60" s="142">
        <f>-B51</f>
        <v>0</v>
      </c>
      <c r="C60" s="142" t="s">
        <v>26</v>
      </c>
      <c r="D60" s="142">
        <f>-D51</f>
        <v>0</v>
      </c>
      <c r="E60" s="142" t="s">
        <v>26</v>
      </c>
      <c r="F60" s="142">
        <f>-F51</f>
        <v>0</v>
      </c>
      <c r="G60" s="142" t="s">
        <v>26</v>
      </c>
      <c r="H60" s="142">
        <f>-H51</f>
        <v>0</v>
      </c>
      <c r="I60" s="142" t="s">
        <v>26</v>
      </c>
      <c r="J60" s="142">
        <f>-J51</f>
        <v>0</v>
      </c>
      <c r="K60" s="142" t="s">
        <v>26</v>
      </c>
      <c r="L60" s="52" t="s">
        <v>26</v>
      </c>
    </row>
    <row r="61" spans="1:12" ht="16.350000000000001" customHeight="1" outlineLevel="1">
      <c r="A61" s="46" t="s">
        <v>117</v>
      </c>
      <c r="B61" s="142">
        <f>-B50</f>
        <v>-35785.542857142857</v>
      </c>
      <c r="C61" s="142" t="s">
        <v>26</v>
      </c>
      <c r="D61" s="142">
        <f>-D50</f>
        <v>-35785.542857142857</v>
      </c>
      <c r="E61" s="142" t="s">
        <v>26</v>
      </c>
      <c r="F61" s="142">
        <f>-F50</f>
        <v>-35785.542857142857</v>
      </c>
      <c r="G61" s="142" t="s">
        <v>26</v>
      </c>
      <c r="H61" s="142">
        <f>-H50</f>
        <v>-35785.542857142857</v>
      </c>
      <c r="I61" s="142" t="s">
        <v>26</v>
      </c>
      <c r="J61" s="142">
        <f>-J50</f>
        <v>-35785.542857142857</v>
      </c>
      <c r="K61" s="142" t="s">
        <v>26</v>
      </c>
      <c r="L61" s="52" t="s">
        <v>26</v>
      </c>
    </row>
    <row r="62" spans="1:12" ht="16.350000000000001" customHeight="1" outlineLevel="1"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2"/>
    </row>
    <row r="63" spans="1:12" ht="16.350000000000001" customHeight="1" outlineLevel="1" thickBot="1">
      <c r="A63" s="163" t="s">
        <v>632</v>
      </c>
      <c r="B63" s="167">
        <f>B23+C23+B56+C56</f>
        <v>134142.25937218178</v>
      </c>
      <c r="C63" s="167" t="s">
        <v>26</v>
      </c>
      <c r="D63" s="167">
        <f>D23+E23+D56+E56</f>
        <v>143806.88074009091</v>
      </c>
      <c r="E63" s="167" t="s">
        <v>26</v>
      </c>
      <c r="F63" s="167">
        <f>F23+G23+F56+G56</f>
        <v>153973.62245378748</v>
      </c>
      <c r="G63" s="167" t="s">
        <v>26</v>
      </c>
      <c r="H63" s="167">
        <f>H23+I23+H56+I56</f>
        <v>164172.84223730688</v>
      </c>
      <c r="I63" s="167" t="s">
        <v>26</v>
      </c>
      <c r="J63" s="167">
        <f>J23+K23+J56+K56</f>
        <v>175144.51938926714</v>
      </c>
      <c r="K63" s="167" t="s">
        <v>26</v>
      </c>
      <c r="L63" s="47" t="s">
        <v>26</v>
      </c>
    </row>
    <row r="64" spans="1:12" ht="16.350000000000001" customHeight="1" outlineLevel="1" thickTop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6.350000000000001" customHeight="1" outlineLevel="1" thickBot="1">
      <c r="A65" s="74" t="s">
        <v>633</v>
      </c>
      <c r="B65" s="106">
        <f>ABS('C.E.'!C29)</f>
        <v>0</v>
      </c>
      <c r="C65" s="106" t="s">
        <v>26</v>
      </c>
      <c r="D65" s="106">
        <f>ABS('C.E.'!D29)</f>
        <v>0</v>
      </c>
      <c r="E65" s="106" t="s">
        <v>26</v>
      </c>
      <c r="F65" s="106">
        <f>ABS('C.E.'!E29)</f>
        <v>0</v>
      </c>
      <c r="G65" s="106" t="s">
        <v>26</v>
      </c>
      <c r="H65" s="106">
        <f>ABS('C.E.'!F29)</f>
        <v>0</v>
      </c>
      <c r="I65" s="106" t="s">
        <v>26</v>
      </c>
      <c r="J65" s="106">
        <f>H65</f>
        <v>0</v>
      </c>
      <c r="K65" s="106" t="s">
        <v>26</v>
      </c>
      <c r="L65" s="47"/>
    </row>
    <row r="66" spans="1:12" ht="16.350000000000001" customHeight="1" outlineLevel="1" thickTop="1"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2"/>
    </row>
    <row r="67" spans="1:12" ht="16.350000000000001" customHeight="1" thickBot="1">
      <c r="A67" s="74" t="s">
        <v>634</v>
      </c>
      <c r="B67" s="106">
        <f>B53-SUM(B59:B61)-B65</f>
        <v>-554086.06289740256</v>
      </c>
      <c r="C67" s="106" t="s">
        <v>26</v>
      </c>
      <c r="D67" s="106">
        <f>D53-SUM(D59:D61)-D65</f>
        <v>-595955.33950194821</v>
      </c>
      <c r="E67" s="106" t="s">
        <v>26</v>
      </c>
      <c r="F67" s="106">
        <f>F53-SUM(F59:F61)-F65</f>
        <v>-641521.34808637353</v>
      </c>
      <c r="G67" s="106" t="s">
        <v>26</v>
      </c>
      <c r="H67" s="106">
        <f>H53-SUM(H59:H61)-H65</f>
        <v>-678324.69255533232</v>
      </c>
      <c r="I67" s="106" t="s">
        <v>26</v>
      </c>
      <c r="J67" s="106">
        <f>J53-SUM(J59:J61)-J65</f>
        <v>-718869.60301787721</v>
      </c>
      <c r="K67" s="106" t="s">
        <v>26</v>
      </c>
      <c r="L67" s="75" t="s">
        <v>26</v>
      </c>
    </row>
    <row r="68" spans="1:12" ht="16.350000000000001" customHeight="1" thickTop="1"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2"/>
    </row>
    <row r="69" spans="1:12" ht="16.350000000000001" customHeight="1" thickBot="1">
      <c r="A69" s="74" t="s">
        <v>635</v>
      </c>
      <c r="B69" s="106">
        <f>B35+B67</f>
        <v>449892.73710259725</v>
      </c>
      <c r="C69" s="106" t="s">
        <v>26</v>
      </c>
      <c r="D69" s="106">
        <f>D35+D67</f>
        <v>212422.47867986979</v>
      </c>
      <c r="E69" s="106" t="s">
        <v>26</v>
      </c>
      <c r="F69" s="106">
        <f>F35+F67</f>
        <v>223648.80900453532</v>
      </c>
      <c r="G69" s="106" t="s">
        <v>26</v>
      </c>
      <c r="H69" s="106">
        <f>H35+H67</f>
        <v>245586.14587375848</v>
      </c>
      <c r="I69" s="106" t="s">
        <v>26</v>
      </c>
      <c r="J69" s="106">
        <f>J35+J67</f>
        <v>265785.4759400863</v>
      </c>
      <c r="K69" s="106" t="s">
        <v>26</v>
      </c>
      <c r="L69" s="75" t="s">
        <v>26</v>
      </c>
    </row>
    <row r="70" spans="1:12" ht="16.350000000000001" customHeight="1" thickTop="1">
      <c r="B70" s="141"/>
      <c r="C70" s="2"/>
      <c r="D70" s="141"/>
      <c r="E70" s="2"/>
      <c r="F70" s="141"/>
      <c r="G70" s="2"/>
      <c r="H70" s="141"/>
      <c r="I70" s="2"/>
      <c r="J70" s="141"/>
      <c r="K70" s="2"/>
      <c r="L70" s="2"/>
    </row>
    <row r="71" spans="1:12" ht="16.350000000000001" customHeight="1" outlineLevel="1" thickBot="1">
      <c r="A71" s="162" t="s">
        <v>636</v>
      </c>
      <c r="B71" s="169">
        <f>B58</f>
        <v>2025</v>
      </c>
      <c r="C71" s="169" t="str">
        <f t="shared" ref="C71:L71" si="3">C25</f>
        <v>//</v>
      </c>
      <c r="D71" s="169">
        <f t="shared" si="3"/>
        <v>2026</v>
      </c>
      <c r="E71" s="169" t="str">
        <f t="shared" si="3"/>
        <v>//</v>
      </c>
      <c r="F71" s="169">
        <f t="shared" si="3"/>
        <v>2027</v>
      </c>
      <c r="G71" s="169" t="str">
        <f t="shared" si="3"/>
        <v>//</v>
      </c>
      <c r="H71" s="169">
        <f t="shared" si="3"/>
        <v>2028</v>
      </c>
      <c r="I71" s="169" t="str">
        <f t="shared" si="3"/>
        <v>//</v>
      </c>
      <c r="J71" s="169">
        <f t="shared" si="3"/>
        <v>2029</v>
      </c>
      <c r="K71" s="169" t="str">
        <f t="shared" si="3"/>
        <v>//</v>
      </c>
      <c r="L71" s="71" t="str">
        <f t="shared" si="3"/>
        <v>Totale</v>
      </c>
    </row>
    <row r="72" spans="1:12" ht="16.350000000000001" customHeight="1" outlineLevel="1" thickTop="1">
      <c r="A72" s="56" t="s">
        <v>637</v>
      </c>
      <c r="B72" s="142">
        <f>Inv.!C37</f>
        <v>250498.8</v>
      </c>
      <c r="C72" s="71" t="str">
        <f>C26</f>
        <v>//</v>
      </c>
      <c r="D72" s="142">
        <f>Inv.!D37</f>
        <v>0</v>
      </c>
      <c r="E72" s="71" t="str">
        <f>E26</f>
        <v>//</v>
      </c>
      <c r="F72" s="142">
        <f>Inv.!E37</f>
        <v>0</v>
      </c>
      <c r="G72" s="71" t="str">
        <f>G26</f>
        <v>//</v>
      </c>
      <c r="H72" s="142">
        <f>Inv.!F37</f>
        <v>0</v>
      </c>
      <c r="I72" s="71" t="str">
        <f>I26</f>
        <v>//</v>
      </c>
      <c r="J72" s="142">
        <f>Inv.!G37</f>
        <v>0</v>
      </c>
      <c r="K72" s="71" t="str">
        <f>K26</f>
        <v>//</v>
      </c>
      <c r="L72" s="48" t="s">
        <v>26</v>
      </c>
    </row>
    <row r="73" spans="1:12" ht="16.350000000000001" customHeight="1" outlineLevel="1">
      <c r="A73" s="56" t="s">
        <v>638</v>
      </c>
      <c r="B73" s="142">
        <f ca="1">SUMIF(Inv.!H40:H77,"A",Inv.!C40:C76)</f>
        <v>0</v>
      </c>
      <c r="C73" s="71" t="str">
        <f>C27</f>
        <v>//</v>
      </c>
      <c r="D73" s="142">
        <f>Inv.!D77</f>
        <v>0</v>
      </c>
      <c r="E73" s="71" t="str">
        <f>E27</f>
        <v>//</v>
      </c>
      <c r="F73" s="142">
        <f>Inv.!E77</f>
        <v>0</v>
      </c>
      <c r="G73" s="71" t="str">
        <f>G27</f>
        <v>//</v>
      </c>
      <c r="H73" s="142">
        <f>Inv.!F77</f>
        <v>0</v>
      </c>
      <c r="I73" s="71" t="str">
        <f>I27</f>
        <v>//</v>
      </c>
      <c r="J73" s="142">
        <f>Inv.!G77</f>
        <v>0</v>
      </c>
      <c r="K73" s="71" t="str">
        <f>K27</f>
        <v>//</v>
      </c>
      <c r="L73" s="48" t="s">
        <v>26</v>
      </c>
    </row>
    <row r="74" spans="1:12" ht="16.350000000000001" customHeight="1" outlineLevel="1">
      <c r="A74" s="56" t="s">
        <v>639</v>
      </c>
      <c r="B74" s="142">
        <f>Inv.!C94</f>
        <v>0</v>
      </c>
      <c r="C74" s="71" t="str">
        <f>C28</f>
        <v>//</v>
      </c>
      <c r="D74" s="142">
        <f>Inv.!D94</f>
        <v>0</v>
      </c>
      <c r="E74" s="71" t="str">
        <f>E28</f>
        <v>//</v>
      </c>
      <c r="F74" s="142">
        <f>Inv.!E94</f>
        <v>0</v>
      </c>
      <c r="G74" s="71" t="str">
        <f>G28</f>
        <v>//</v>
      </c>
      <c r="H74" s="142">
        <f>Inv.!F94</f>
        <v>0</v>
      </c>
      <c r="I74" s="71" t="str">
        <f>I28</f>
        <v>//</v>
      </c>
      <c r="J74" s="142">
        <f>Inv.!G94</f>
        <v>0</v>
      </c>
      <c r="K74" s="71" t="str">
        <f>K28</f>
        <v>//</v>
      </c>
      <c r="L74" s="48" t="s">
        <v>26</v>
      </c>
    </row>
    <row r="75" spans="1:12" ht="16.350000000000001" customHeight="1" outlineLevel="1" thickBot="1">
      <c r="A75" s="164" t="s">
        <v>80</v>
      </c>
      <c r="B75" s="166">
        <f ca="1">-SUM(B72:B74)</f>
        <v>-250498.8</v>
      </c>
      <c r="C75" s="165" t="s">
        <v>26</v>
      </c>
      <c r="D75" s="166">
        <f>-SUM(D72:D74)</f>
        <v>0</v>
      </c>
      <c r="E75" s="165" t="s">
        <v>26</v>
      </c>
      <c r="F75" s="166">
        <f>-SUM(F72:F74)</f>
        <v>0</v>
      </c>
      <c r="G75" s="165" t="s">
        <v>26</v>
      </c>
      <c r="H75" s="166">
        <f>-SUM(H72:H74)</f>
        <v>0</v>
      </c>
      <c r="I75" s="165" t="s">
        <v>26</v>
      </c>
      <c r="J75" s="166">
        <f>-SUM(J72:J74)</f>
        <v>0</v>
      </c>
      <c r="K75" s="165" t="s">
        <v>26</v>
      </c>
      <c r="L75" s="76" t="s">
        <v>26</v>
      </c>
    </row>
    <row r="76" spans="1:12" ht="16.350000000000001" customHeight="1" outlineLevel="1" thickTop="1">
      <c r="B76" s="141"/>
      <c r="C76" s="2"/>
      <c r="D76" s="141"/>
      <c r="E76" s="2"/>
      <c r="F76" s="141"/>
      <c r="G76" s="2"/>
      <c r="H76" s="141"/>
      <c r="I76" s="2"/>
      <c r="J76" s="141"/>
      <c r="K76" s="2"/>
      <c r="L76" s="2"/>
    </row>
    <row r="77" spans="1:12" ht="16.350000000000001" customHeight="1" outlineLevel="1" thickBot="1">
      <c r="A77" s="74" t="s">
        <v>640</v>
      </c>
      <c r="B77" s="106">
        <f ca="1">B33+B75</f>
        <v>0</v>
      </c>
      <c r="C77" s="75" t="s">
        <v>26</v>
      </c>
      <c r="D77" s="106">
        <f>D33+D75</f>
        <v>0</v>
      </c>
      <c r="E77" s="75" t="s">
        <v>26</v>
      </c>
      <c r="F77" s="106">
        <f>F33+F75</f>
        <v>0</v>
      </c>
      <c r="G77" s="75" t="s">
        <v>26</v>
      </c>
      <c r="H77" s="106">
        <f>H33+H75</f>
        <v>0</v>
      </c>
      <c r="I77" s="75" t="s">
        <v>26</v>
      </c>
      <c r="J77" s="106">
        <f>J33+J75</f>
        <v>0</v>
      </c>
      <c r="K77" s="75" t="s">
        <v>26</v>
      </c>
      <c r="L77" s="75" t="s">
        <v>26</v>
      </c>
    </row>
    <row r="78" spans="1:12" ht="16.350000000000001" customHeight="1" outlineLevel="1" thickTop="1">
      <c r="B78" s="141"/>
      <c r="C78" s="2"/>
      <c r="D78" s="141"/>
      <c r="E78" s="2"/>
      <c r="F78" s="141"/>
      <c r="G78" s="2"/>
      <c r="H78" s="141"/>
      <c r="I78" s="2"/>
      <c r="J78" s="141"/>
      <c r="K78" s="2"/>
      <c r="L78" s="2"/>
    </row>
    <row r="79" spans="1:12" ht="16.350000000000001" customHeight="1" outlineLevel="1" thickBot="1">
      <c r="A79" s="162" t="s">
        <v>641</v>
      </c>
      <c r="B79" s="169">
        <f>B58</f>
        <v>2025</v>
      </c>
      <c r="C79" s="169" t="s">
        <v>642</v>
      </c>
      <c r="D79" s="169">
        <f>D58</f>
        <v>2026</v>
      </c>
      <c r="E79" s="169" t="s">
        <v>642</v>
      </c>
      <c r="F79" s="169">
        <f>F58</f>
        <v>2027</v>
      </c>
      <c r="G79" s="169" t="s">
        <v>642</v>
      </c>
      <c r="H79" s="169">
        <f>H58</f>
        <v>2028</v>
      </c>
      <c r="I79" s="169" t="s">
        <v>642</v>
      </c>
      <c r="J79" s="169">
        <f>J58</f>
        <v>2029</v>
      </c>
      <c r="K79" s="169" t="s">
        <v>642</v>
      </c>
      <c r="L79" s="77" t="s">
        <v>61</v>
      </c>
    </row>
    <row r="80" spans="1:12" ht="16.350000000000001" customHeight="1" outlineLevel="1" thickTop="1">
      <c r="A80" s="111" t="str">
        <f t="shared" ref="A80:A86" si="4">A26</f>
        <v>Equity</v>
      </c>
      <c r="B80" s="144">
        <v>0</v>
      </c>
      <c r="C80" s="144">
        <v>0</v>
      </c>
      <c r="D80" s="144">
        <v>0</v>
      </c>
      <c r="E80" s="144">
        <v>0</v>
      </c>
      <c r="F80" s="144">
        <v>0</v>
      </c>
      <c r="G80" s="144">
        <v>0</v>
      </c>
      <c r="H80" s="144">
        <v>0</v>
      </c>
      <c r="I80" s="144">
        <v>0</v>
      </c>
      <c r="J80" s="144">
        <v>0</v>
      </c>
      <c r="K80" s="144">
        <v>0</v>
      </c>
      <c r="L80" s="78" t="s">
        <v>26</v>
      </c>
    </row>
    <row r="81" spans="1:14" ht="16.350000000000001" customHeight="1" outlineLevel="1">
      <c r="A81" s="111" t="str">
        <f t="shared" si="4"/>
        <v>Mortgages</v>
      </c>
      <c r="B81" s="144">
        <v>0</v>
      </c>
      <c r="C81" s="144">
        <v>0</v>
      </c>
      <c r="D81" s="144">
        <v>0</v>
      </c>
      <c r="E81" s="144">
        <v>0</v>
      </c>
      <c r="F81" s="144">
        <v>0</v>
      </c>
      <c r="G81" s="144">
        <v>0</v>
      </c>
      <c r="H81" s="144">
        <v>0</v>
      </c>
      <c r="I81" s="144">
        <v>0</v>
      </c>
      <c r="J81" s="144">
        <v>0</v>
      </c>
      <c r="K81" s="144">
        <v>0</v>
      </c>
      <c r="L81" s="78" t="s">
        <v>26</v>
      </c>
    </row>
    <row r="82" spans="1:14" ht="16.350000000000001" customHeight="1" outlineLevel="1">
      <c r="A82" s="111" t="str">
        <f t="shared" si="4"/>
        <v>Venture Loans</v>
      </c>
      <c r="B82" s="144">
        <v>0</v>
      </c>
      <c r="C82" s="144">
        <v>0</v>
      </c>
      <c r="D82" s="144">
        <f>Mutui!B11</f>
        <v>0</v>
      </c>
      <c r="E82" s="144">
        <v>0</v>
      </c>
      <c r="F82" s="144">
        <f t="shared" ref="F82:J83" si="5">D82</f>
        <v>0</v>
      </c>
      <c r="G82" s="144">
        <f>E82-F82</f>
        <v>0</v>
      </c>
      <c r="H82" s="144">
        <f t="shared" si="5"/>
        <v>0</v>
      </c>
      <c r="I82" s="144">
        <f>G82-H82</f>
        <v>0</v>
      </c>
      <c r="J82" s="144">
        <f t="shared" si="5"/>
        <v>0</v>
      </c>
      <c r="K82" s="144">
        <f>I82-J82</f>
        <v>0</v>
      </c>
      <c r="L82" s="78" t="s">
        <v>26</v>
      </c>
    </row>
    <row r="83" spans="1:14" ht="16.350000000000001" customHeight="1" outlineLevel="1">
      <c r="A83" s="111" t="str">
        <f t="shared" si="4"/>
        <v>Leasing</v>
      </c>
      <c r="B83" s="144">
        <f>Mutui!E44</f>
        <v>0</v>
      </c>
      <c r="C83" s="144">
        <f>Inv.!D103-B83</f>
        <v>0</v>
      </c>
      <c r="D83" s="144">
        <f>B83</f>
        <v>0</v>
      </c>
      <c r="E83" s="144">
        <v>0</v>
      </c>
      <c r="F83" s="144">
        <f t="shared" si="5"/>
        <v>0</v>
      </c>
      <c r="G83" s="144">
        <f>Inv.!D103-F83-D83-B83</f>
        <v>0</v>
      </c>
      <c r="H83" s="144">
        <f t="shared" si="5"/>
        <v>0</v>
      </c>
      <c r="I83" s="144">
        <f>Inv.!D103-H83-F83-D83-B83</f>
        <v>0</v>
      </c>
      <c r="J83" s="144">
        <f t="shared" si="5"/>
        <v>0</v>
      </c>
      <c r="K83" s="144">
        <f>Inv.!D103-J83-H83-F83-D83-B83</f>
        <v>0</v>
      </c>
      <c r="L83" s="78" t="s">
        <v>26</v>
      </c>
    </row>
    <row r="84" spans="1:14" ht="16.350000000000001" customHeight="1" outlineLevel="1">
      <c r="A84" s="111" t="str">
        <f t="shared" si="4"/>
        <v>Cash flow</v>
      </c>
      <c r="B84" s="144">
        <f>Mutui!E45</f>
        <v>0</v>
      </c>
      <c r="C84" s="144">
        <v>0</v>
      </c>
      <c r="D84" s="144">
        <f>B84</f>
        <v>0</v>
      </c>
      <c r="E84" s="144">
        <v>0</v>
      </c>
      <c r="F84" s="144">
        <f>D84</f>
        <v>0</v>
      </c>
      <c r="G84" s="144">
        <v>0</v>
      </c>
      <c r="H84" s="144">
        <f>F84</f>
        <v>0</v>
      </c>
      <c r="I84" s="144">
        <v>0</v>
      </c>
      <c r="J84" s="144">
        <f>H84</f>
        <v>0</v>
      </c>
      <c r="K84" s="144">
        <v>0</v>
      </c>
      <c r="L84" s="78" t="s">
        <v>26</v>
      </c>
      <c r="N84" s="4"/>
    </row>
    <row r="85" spans="1:14" ht="16.350000000000001" customHeight="1" outlineLevel="1">
      <c r="A85" s="111" t="str">
        <f t="shared" si="4"/>
        <v>Others</v>
      </c>
      <c r="B85" s="144">
        <v>0</v>
      </c>
      <c r="C85" s="144">
        <v>0</v>
      </c>
      <c r="D85" s="144">
        <f>B85</f>
        <v>0</v>
      </c>
      <c r="E85" s="144">
        <v>0</v>
      </c>
      <c r="F85" s="144">
        <f>D85</f>
        <v>0</v>
      </c>
      <c r="G85" s="144">
        <v>0</v>
      </c>
      <c r="H85" s="144">
        <f>F85</f>
        <v>0</v>
      </c>
      <c r="I85" s="144">
        <v>0</v>
      </c>
      <c r="J85" s="144">
        <f>H85</f>
        <v>0</v>
      </c>
      <c r="K85" s="144">
        <v>0</v>
      </c>
      <c r="L85" s="78" t="s">
        <v>26</v>
      </c>
    </row>
    <row r="86" spans="1:14" ht="16.350000000000001" customHeight="1" outlineLevel="1">
      <c r="A86" s="111" t="str">
        <f t="shared" si="4"/>
        <v>Others</v>
      </c>
      <c r="B86" s="144">
        <v>0</v>
      </c>
      <c r="C86" s="144">
        <v>0</v>
      </c>
      <c r="D86" s="144">
        <v>0</v>
      </c>
      <c r="E86" s="144">
        <v>0</v>
      </c>
      <c r="F86" s="144">
        <v>0</v>
      </c>
      <c r="G86" s="144">
        <v>0</v>
      </c>
      <c r="H86" s="144">
        <v>0</v>
      </c>
      <c r="I86" s="144">
        <v>0</v>
      </c>
      <c r="J86" s="144">
        <v>0</v>
      </c>
      <c r="K86" s="144">
        <v>0</v>
      </c>
      <c r="L86" s="78" t="s">
        <v>26</v>
      </c>
    </row>
    <row r="87" spans="1:14" s="55" customFormat="1" ht="16.350000000000001" customHeight="1" outlineLevel="1" thickBot="1">
      <c r="A87" s="168" t="str">
        <f>A33</f>
        <v>Total</v>
      </c>
      <c r="B87" s="166">
        <f>-SUM(B80:B86)</f>
        <v>0</v>
      </c>
      <c r="C87" s="166">
        <f>SUM(C80:C86)</f>
        <v>0</v>
      </c>
      <c r="D87" s="166">
        <f>-SUM(D80:D86)</f>
        <v>0</v>
      </c>
      <c r="E87" s="166">
        <f>SUM(E80:E86)</f>
        <v>0</v>
      </c>
      <c r="F87" s="166">
        <f>-SUM(F80:F86)</f>
        <v>0</v>
      </c>
      <c r="G87" s="166">
        <f>SUM(G80:G86)</f>
        <v>0</v>
      </c>
      <c r="H87" s="166">
        <f>-SUM(H80:H86)</f>
        <v>0</v>
      </c>
      <c r="I87" s="166">
        <f>SUM(I80:I86)</f>
        <v>0</v>
      </c>
      <c r="J87" s="166">
        <f>-SUM(J80:J86)</f>
        <v>0</v>
      </c>
      <c r="K87" s="166">
        <f>SUM(K80:K86)</f>
        <v>0</v>
      </c>
      <c r="L87" s="78" t="s">
        <v>26</v>
      </c>
    </row>
    <row r="88" spans="1:14" ht="16.350000000000001" customHeight="1" outlineLevel="1" thickTop="1">
      <c r="A88" s="55"/>
      <c r="B88" s="141"/>
      <c r="C88" s="2"/>
      <c r="D88" s="141"/>
      <c r="E88" s="2"/>
      <c r="F88" s="141"/>
      <c r="G88" s="2"/>
      <c r="H88" s="141"/>
      <c r="I88" s="2"/>
      <c r="J88" s="141"/>
      <c r="K88" s="2"/>
      <c r="L88" s="2"/>
    </row>
    <row r="89" spans="1:14" ht="16.350000000000001" customHeight="1" thickBot="1">
      <c r="A89" s="74" t="s">
        <v>643</v>
      </c>
      <c r="B89" s="106">
        <f>B87</f>
        <v>0</v>
      </c>
      <c r="C89" s="75" t="s">
        <v>26</v>
      </c>
      <c r="D89" s="106">
        <f>D87</f>
        <v>0</v>
      </c>
      <c r="E89" s="75" t="s">
        <v>26</v>
      </c>
      <c r="F89" s="106">
        <f>F87</f>
        <v>0</v>
      </c>
      <c r="G89" s="75" t="s">
        <v>26</v>
      </c>
      <c r="H89" s="106">
        <f>H87</f>
        <v>0</v>
      </c>
      <c r="I89" s="75" t="s">
        <v>26</v>
      </c>
      <c r="J89" s="106">
        <f>J87</f>
        <v>0</v>
      </c>
      <c r="K89" s="75" t="s">
        <v>26</v>
      </c>
      <c r="L89" s="75" t="s">
        <v>26</v>
      </c>
    </row>
    <row r="90" spans="1:14" ht="16.350000000000001" customHeight="1" thickTop="1">
      <c r="B90" s="145"/>
      <c r="D90" s="145"/>
      <c r="F90" s="145"/>
      <c r="H90" s="145"/>
      <c r="J90" s="145"/>
    </row>
    <row r="91" spans="1:14" ht="16.350000000000001" customHeight="1" thickBot="1">
      <c r="A91" s="120" t="s">
        <v>644</v>
      </c>
      <c r="B91" s="121">
        <f ca="1">B69+B75+B87</f>
        <v>199393.93710259727</v>
      </c>
      <c r="C91" s="122" t="s">
        <v>26</v>
      </c>
      <c r="D91" s="121">
        <f>D69+D75+D87</f>
        <v>212422.47867986979</v>
      </c>
      <c r="E91" s="122" t="s">
        <v>26</v>
      </c>
      <c r="F91" s="121">
        <f>F69+F75+F87</f>
        <v>223648.80900453532</v>
      </c>
      <c r="G91" s="122" t="s">
        <v>26</v>
      </c>
      <c r="H91" s="121">
        <f>H69+H75+H87</f>
        <v>245586.14587375848</v>
      </c>
      <c r="I91" s="122" t="s">
        <v>26</v>
      </c>
      <c r="J91" s="121">
        <f>J69+J75+J87</f>
        <v>265785.4759400863</v>
      </c>
      <c r="K91" s="122" t="s">
        <v>26</v>
      </c>
      <c r="L91" s="122" t="s">
        <v>26</v>
      </c>
    </row>
    <row r="92" spans="1:14" ht="16.350000000000001" customHeight="1" thickTop="1">
      <c r="B92" s="145"/>
      <c r="D92" s="145"/>
      <c r="F92" s="145"/>
      <c r="H92" s="145"/>
      <c r="J92" s="145"/>
    </row>
    <row r="93" spans="1:14" ht="16.350000000000001" customHeight="1" thickBot="1">
      <c r="A93" s="123" t="s">
        <v>645</v>
      </c>
      <c r="B93" s="124">
        <f ca="1">B91+B99</f>
        <v>199393.93710259727</v>
      </c>
      <c r="C93" s="125" t="s">
        <v>26</v>
      </c>
      <c r="D93" s="124">
        <f ca="1">B93+D91</f>
        <v>411816.41578246705</v>
      </c>
      <c r="E93" s="125" t="s">
        <v>26</v>
      </c>
      <c r="F93" s="124">
        <f ca="1">D93+F91</f>
        <v>635465.22478700243</v>
      </c>
      <c r="G93" s="125" t="s">
        <v>26</v>
      </c>
      <c r="H93" s="124">
        <f ca="1">F93+H91</f>
        <v>881051.37066076091</v>
      </c>
      <c r="I93" s="125" t="s">
        <v>26</v>
      </c>
      <c r="J93" s="124">
        <f ca="1">H93+J91</f>
        <v>1146836.8466008473</v>
      </c>
      <c r="K93" s="125" t="s">
        <v>26</v>
      </c>
      <c r="L93" s="125" t="s">
        <v>26</v>
      </c>
    </row>
    <row r="94" spans="1:14" ht="16.350000000000001" customHeight="1" thickTop="1">
      <c r="B94" s="145"/>
      <c r="D94" s="145"/>
      <c r="F94" s="145"/>
      <c r="H94" s="145"/>
      <c r="J94" s="145"/>
    </row>
    <row r="95" spans="1:14" ht="16.350000000000001" customHeight="1" thickBot="1">
      <c r="A95" s="126" t="s">
        <v>256</v>
      </c>
      <c r="B95" s="127">
        <v>0</v>
      </c>
      <c r="C95" s="89" t="s">
        <v>26</v>
      </c>
      <c r="D95" s="127">
        <v>0</v>
      </c>
      <c r="E95" s="89" t="s">
        <v>26</v>
      </c>
      <c r="F95" s="127">
        <v>0</v>
      </c>
      <c r="G95" s="89" t="s">
        <v>26</v>
      </c>
      <c r="H95" s="127">
        <v>0</v>
      </c>
      <c r="I95" s="89" t="s">
        <v>26</v>
      </c>
      <c r="J95" s="127">
        <v>0</v>
      </c>
      <c r="K95" s="89" t="s">
        <v>26</v>
      </c>
      <c r="L95" s="89" t="s">
        <v>26</v>
      </c>
    </row>
    <row r="96" spans="1:14" ht="16.350000000000001" customHeight="1" thickTop="1">
      <c r="B96" s="145"/>
      <c r="D96" s="145"/>
      <c r="F96" s="145"/>
      <c r="H96" s="145"/>
      <c r="J96" s="145"/>
    </row>
    <row r="97" spans="1:12" ht="16.350000000000001" customHeight="1" thickBot="1">
      <c r="A97" s="172" t="s">
        <v>646</v>
      </c>
      <c r="B97" s="128">
        <f ca="1">B93+B95</f>
        <v>199393.93710259727</v>
      </c>
      <c r="C97" s="129" t="s">
        <v>26</v>
      </c>
      <c r="D97" s="128">
        <f ca="1">D91+D95+B97</f>
        <v>411816.41578246705</v>
      </c>
      <c r="E97" s="129" t="s">
        <v>26</v>
      </c>
      <c r="F97" s="128">
        <f ca="1">F91+F95+D97</f>
        <v>635465.22478700243</v>
      </c>
      <c r="G97" s="129" t="s">
        <v>26</v>
      </c>
      <c r="H97" s="128">
        <f ca="1">H91+H95+F97</f>
        <v>881051.37066076091</v>
      </c>
      <c r="I97" s="129" t="s">
        <v>26</v>
      </c>
      <c r="J97" s="128">
        <f ca="1">J91+J95+H97</f>
        <v>1146836.8466008473</v>
      </c>
      <c r="K97" s="129" t="s">
        <v>26</v>
      </c>
      <c r="L97" s="129" t="s">
        <v>26</v>
      </c>
    </row>
    <row r="98" spans="1:12" ht="16.350000000000001" customHeight="1" thickTop="1">
      <c r="B98" s="145"/>
    </row>
    <row r="99" spans="1:12" ht="16.350000000000001" customHeight="1" thickBot="1">
      <c r="A99" s="74" t="s">
        <v>647</v>
      </c>
      <c r="B99" s="106">
        <v>0</v>
      </c>
      <c r="C99" s="75" t="s">
        <v>26</v>
      </c>
      <c r="D99" s="75" t="s">
        <v>26</v>
      </c>
      <c r="E99" s="75" t="s">
        <v>26</v>
      </c>
      <c r="F99" s="75" t="s">
        <v>26</v>
      </c>
      <c r="G99" s="75" t="s">
        <v>26</v>
      </c>
      <c r="H99" s="75" t="s">
        <v>26</v>
      </c>
      <c r="I99" s="75" t="s">
        <v>26</v>
      </c>
      <c r="J99" s="75" t="s">
        <v>26</v>
      </c>
      <c r="K99" s="75" t="s">
        <v>26</v>
      </c>
    </row>
    <row r="100" spans="1:12" ht="16.350000000000001" customHeight="1" thickTop="1"/>
    <row r="101" spans="1:12" ht="16.350000000000001" customHeight="1"/>
    <row r="102" spans="1:12" ht="16.350000000000001" customHeight="1"/>
    <row r="103" spans="1:12" ht="16.350000000000001" customHeight="1"/>
    <row r="104" spans="1:12" ht="16.350000000000001" customHeight="1"/>
    <row r="105" spans="1:12" ht="16.350000000000001" customHeight="1"/>
    <row r="106" spans="1:12" ht="16.350000000000001" customHeight="1"/>
    <row r="107" spans="1:12" ht="16.350000000000001" customHeight="1"/>
    <row r="108" spans="1:12" ht="16.350000000000001" customHeight="1"/>
    <row r="109" spans="1:12" ht="16.350000000000001" customHeight="1"/>
    <row r="110" spans="1:12" ht="16.350000000000001" customHeight="1"/>
    <row r="111" spans="1:12" ht="16.350000000000001" customHeight="1"/>
    <row r="112" spans="1:12" ht="16.350000000000001" customHeight="1"/>
    <row r="113" ht="16.350000000000001" customHeight="1"/>
    <row r="114" ht="16.350000000000001" customHeight="1"/>
    <row r="115" ht="16.350000000000001" customHeight="1"/>
    <row r="116" ht="16.350000000000001" customHeight="1"/>
    <row r="117" ht="16.350000000000001" customHeight="1"/>
    <row r="118" ht="16.350000000000001" customHeight="1"/>
    <row r="119" ht="16.350000000000001" customHeight="1"/>
    <row r="120" ht="16.350000000000001" customHeight="1"/>
    <row r="121" ht="16.350000000000001" customHeight="1"/>
    <row r="122" ht="16.350000000000001" customHeight="1"/>
    <row r="123" ht="16.350000000000001" customHeight="1"/>
    <row r="124" ht="16.350000000000001" customHeight="1"/>
    <row r="125" ht="16.350000000000001" customHeight="1"/>
    <row r="126" ht="16.350000000000001" customHeight="1"/>
    <row r="127" ht="16.350000000000001" customHeight="1"/>
    <row r="128" ht="16.350000000000001" customHeight="1"/>
    <row r="129" ht="16.350000000000001" customHeight="1"/>
    <row r="130" ht="16.350000000000001" customHeight="1"/>
    <row r="131" ht="16.350000000000001" customHeight="1"/>
    <row r="132" ht="16.350000000000001" customHeight="1"/>
    <row r="133" ht="16.350000000000001" customHeight="1"/>
    <row r="134" ht="16.350000000000001" customHeight="1"/>
    <row r="135" ht="16.350000000000001" customHeight="1"/>
    <row r="136" ht="16.350000000000001" customHeight="1"/>
    <row r="137" ht="16.350000000000001" customHeight="1"/>
    <row r="138" ht="16.350000000000001" customHeight="1"/>
    <row r="139" ht="16.350000000000001" customHeight="1"/>
    <row r="140" ht="16.350000000000001" customHeight="1"/>
    <row r="141" ht="16.350000000000001" customHeight="1"/>
  </sheetData>
  <sheetProtection algorithmName="SHA-512" hashValue="KXLdAsy2VyFe9HCUC4H+nGj+reBNGzhb1jSeNiJhqVdbqBIvfsOQ1oECjAit853v1anP3+jtROLrLyCovpIPQA==" saltValue="ncWEjN56scGlgt00eVNXFQ==" spinCount="100000" sheet="1" objects="1" scenarios="1" selectLockedCells="1"/>
  <mergeCells count="4">
    <mergeCell ref="A3:L3"/>
    <mergeCell ref="A2:L2"/>
    <mergeCell ref="A1:L1"/>
    <mergeCell ref="A6:L6"/>
  </mergeCells>
  <conditionalFormatting sqref="B82:B85">
    <cfRule type="containsText" dxfId="1" priority="1" stopIfTrue="1" operator="containsText" text="#VALORE!">
      <formula>NOT(ISERROR(SEARCH("#VALORE!",B82)))</formula>
    </cfRule>
  </conditionalFormatting>
  <conditionalFormatting sqref="L26:L32">
    <cfRule type="cellIs" dxfId="0" priority="5" stopIfTrue="1" operator="equal">
      <formula>FALSE</formula>
    </cfRule>
  </conditionalFormatting>
  <printOptions horizontalCentered="1"/>
  <pageMargins left="0.15748031496062992" right="0.15748031496062992" top="0.15748031496062992" bottom="0.15748031496062992" header="0.15748031496062992" footer="0.15748031496062992"/>
  <pageSetup paperSize="9" scale="72" fitToHeight="10" orientation="landscape" r:id="rId1"/>
  <rowBreaks count="4" manualBreakCount="4">
    <brk id="23" max="16383" man="1"/>
    <brk id="35" max="16383" man="1"/>
    <brk id="56" max="16383" man="1"/>
    <brk id="87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/>
  <cp:revision/>
  <dcterms:created xsi:type="dcterms:W3CDTF">1996-11-05T10:16:36Z</dcterms:created>
  <dcterms:modified xsi:type="dcterms:W3CDTF">2024-09-16T11:52:11Z</dcterms:modified>
  <cp:category/>
  <cp:contentStatus/>
</cp:coreProperties>
</file>